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T:\rvo\kai\Communicatie en Analyse 2\Duurzaam II\Gebouwde omgeving\ACT-regelingen\ISDE\2024\"/>
    </mc:Choice>
  </mc:AlternateContent>
  <xr:revisionPtr revIDLastSave="0" documentId="8_{CE0D90A6-1A50-4EE7-BD87-B2F34C851A3C}" xr6:coauthVersionLast="47" xr6:coauthVersionMax="47" xr10:uidLastSave="{00000000-0000-0000-0000-000000000000}"/>
  <workbookProtection workbookAlgorithmName="SHA-512" workbookHashValue="3ih4mv0OpDEFQWK++QR9KNfTAjy9tizaHi6BwXvn2j/wH1+TBO5aAoxBluHmDo6W692gLNrE9JUZGp8nVz6j/Q==" workbookSaltValue="x34W7DceGsARMUZ7+8wO6g==" workbookSpinCount="100000" lockStructure="1"/>
  <bookViews>
    <workbookView xWindow="1785" yWindow="330" windowWidth="38700" windowHeight="15435" xr2:uid="{06C84F82-475F-47D1-A093-DF452E609559}"/>
  </bookViews>
  <sheets>
    <sheet name="Keuzeblad maatregelen" sheetId="1" r:id="rId1"/>
    <sheet name="Afdrukoverzicht subsidiebedrag" sheetId="3" r:id="rId2"/>
    <sheet name="Hulpblad" sheetId="2" state="hidden" r:id="rId3"/>
  </sheets>
  <definedNames>
    <definedName name="_xlnm.Print_Area" localSheetId="1">'Afdrukoverzicht subsidiebedrag'!$A$1:$D$28</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1" l="1"/>
  <c r="F297" i="2"/>
  <c r="D297" i="2"/>
  <c r="D255" i="2"/>
  <c r="F255" i="2" s="1"/>
  <c r="D276" i="2"/>
  <c r="F276" i="2" s="1"/>
  <c r="D236" i="2"/>
  <c r="F236" i="2" s="1"/>
  <c r="D215" i="2"/>
  <c r="F215" i="2" s="1"/>
  <c r="I215" i="2"/>
  <c r="D194" i="2"/>
  <c r="F194" i="2" s="1"/>
  <c r="B19" i="3"/>
  <c r="B8" i="3"/>
  <c r="H67" i="2"/>
  <c r="H63" i="2"/>
  <c r="H59" i="2"/>
  <c r="H55" i="2"/>
  <c r="H51" i="2"/>
  <c r="H47" i="2"/>
  <c r="I301" i="2"/>
  <c r="I300" i="2"/>
  <c r="I299" i="2"/>
  <c r="I298" i="2"/>
  <c r="I296" i="2"/>
  <c r="I293" i="2"/>
  <c r="I292" i="2"/>
  <c r="I291" i="2"/>
  <c r="I288" i="2"/>
  <c r="I287" i="2"/>
  <c r="I286" i="2"/>
  <c r="I285" i="2"/>
  <c r="I284" i="2"/>
  <c r="I283" i="2"/>
  <c r="I282" i="2"/>
  <c r="I281" i="2"/>
  <c r="I280" i="2"/>
  <c r="I279" i="2"/>
  <c r="I278" i="2"/>
  <c r="I277" i="2"/>
  <c r="I275" i="2"/>
  <c r="I272" i="2"/>
  <c r="I271" i="2"/>
  <c r="I270" i="2"/>
  <c r="I267" i="2"/>
  <c r="I266" i="2"/>
  <c r="I265" i="2"/>
  <c r="I264" i="2"/>
  <c r="I263" i="2"/>
  <c r="I262" i="2"/>
  <c r="I261" i="2"/>
  <c r="I260" i="2"/>
  <c r="I259" i="2"/>
  <c r="I258" i="2"/>
  <c r="I257" i="2"/>
  <c r="I256" i="2"/>
  <c r="I254" i="2"/>
  <c r="I251" i="2"/>
  <c r="I250" i="2"/>
  <c r="I249" i="2"/>
  <c r="I248" i="2"/>
  <c r="I247" i="2"/>
  <c r="I246" i="2"/>
  <c r="I245" i="2"/>
  <c r="I244" i="2"/>
  <c r="I243" i="2"/>
  <c r="I242" i="2"/>
  <c r="I241" i="2"/>
  <c r="I199" i="2"/>
  <c r="I200" i="2"/>
  <c r="I201" i="2"/>
  <c r="I202" i="2"/>
  <c r="I203" i="2"/>
  <c r="I204" i="2"/>
  <c r="I205" i="2"/>
  <c r="I206" i="2"/>
  <c r="I207" i="2"/>
  <c r="I208" i="2"/>
  <c r="I209" i="2"/>
  <c r="I210" i="2"/>
  <c r="I211" i="2"/>
  <c r="I212" i="2"/>
  <c r="I213" i="2"/>
  <c r="I214" i="2"/>
  <c r="I216" i="2"/>
  <c r="I217" i="2"/>
  <c r="I218" i="2"/>
  <c r="I219" i="2"/>
  <c r="I220" i="2"/>
  <c r="I221" i="2"/>
  <c r="I222" i="2"/>
  <c r="I223" i="2"/>
  <c r="I224" i="2"/>
  <c r="I225" i="2"/>
  <c r="I226" i="2"/>
  <c r="I227" i="2"/>
  <c r="I228" i="2"/>
  <c r="I229" i="2"/>
  <c r="I230" i="2"/>
  <c r="I231" i="2"/>
  <c r="I232" i="2"/>
  <c r="I233" i="2"/>
  <c r="I234" i="2"/>
  <c r="I235" i="2"/>
  <c r="I237" i="2"/>
  <c r="I238" i="2"/>
  <c r="I239" i="2"/>
  <c r="I240" i="2"/>
  <c r="I181" i="2"/>
  <c r="I182" i="2"/>
  <c r="I183" i="2"/>
  <c r="I184" i="2"/>
  <c r="I185" i="2"/>
  <c r="I186" i="2"/>
  <c r="I187" i="2"/>
  <c r="I188" i="2"/>
  <c r="I189" i="2"/>
  <c r="I190" i="2"/>
  <c r="I191" i="2"/>
  <c r="I192" i="2"/>
  <c r="I193" i="2"/>
  <c r="I195" i="2"/>
  <c r="I196" i="2"/>
  <c r="I197" i="2"/>
  <c r="I198" i="2"/>
  <c r="C138" i="2"/>
  <c r="C150" i="2"/>
  <c r="F231" i="2"/>
  <c r="D238" i="2"/>
  <c r="F238" i="2" s="1"/>
  <c r="D239" i="2"/>
  <c r="F239" i="2" s="1"/>
  <c r="D240" i="2"/>
  <c r="F240" i="2" s="1"/>
  <c r="F226" i="2"/>
  <c r="D217" i="2"/>
  <c r="F217" i="2" s="1"/>
  <c r="D218" i="2"/>
  <c r="F218" i="2" s="1"/>
  <c r="D219" i="2"/>
  <c r="F219" i="2" s="1"/>
  <c r="F210" i="2"/>
  <c r="F205" i="2"/>
  <c r="D196" i="2"/>
  <c r="F196" i="2" s="1"/>
  <c r="D197" i="2"/>
  <c r="F197" i="2" s="1"/>
  <c r="D198" i="2"/>
  <c r="F198" i="2" s="1"/>
  <c r="F189" i="2"/>
  <c r="F221" i="2"/>
  <c r="F200" i="2"/>
  <c r="F184" i="2"/>
  <c r="D299" i="2"/>
  <c r="F299" i="2" s="1"/>
  <c r="D300" i="2"/>
  <c r="F300" i="2" s="1"/>
  <c r="D301" i="2"/>
  <c r="F301" i="2" s="1"/>
  <c r="F295" i="2"/>
  <c r="F294" i="2"/>
  <c r="F290" i="2"/>
  <c r="F289" i="2"/>
  <c r="F282" i="2"/>
  <c r="D278" i="2"/>
  <c r="F278" i="2" s="1"/>
  <c r="D279" i="2"/>
  <c r="F279" i="2" s="1"/>
  <c r="D280" i="2"/>
  <c r="F280" i="2" s="1"/>
  <c r="F274" i="2"/>
  <c r="F273" i="2"/>
  <c r="F269" i="2"/>
  <c r="F268" i="2"/>
  <c r="D257" i="2"/>
  <c r="F257" i="2" s="1"/>
  <c r="D258" i="2"/>
  <c r="F258" i="2" s="1"/>
  <c r="D259" i="2"/>
  <c r="F259" i="2" s="1"/>
  <c r="F253" i="2"/>
  <c r="F252" i="2"/>
  <c r="F261" i="2"/>
  <c r="F245" i="2"/>
  <c r="C118" i="2"/>
  <c r="D195" i="2"/>
  <c r="F195" i="2" s="1"/>
  <c r="D298" i="2"/>
  <c r="D277" i="2"/>
  <c r="D256" i="2"/>
  <c r="D237" i="2"/>
  <c r="F237" i="2" s="1"/>
  <c r="D216" i="2"/>
  <c r="F216" i="2" s="1"/>
  <c r="F298" i="2"/>
  <c r="F277" i="2"/>
  <c r="F256" i="2"/>
  <c r="F293" i="2"/>
  <c r="F292" i="2"/>
  <c r="F288" i="2"/>
  <c r="F287" i="2"/>
  <c r="F285" i="2"/>
  <c r="F284" i="2"/>
  <c r="F283" i="2"/>
  <c r="F272" i="2"/>
  <c r="F271" i="2"/>
  <c r="F267" i="2"/>
  <c r="F266" i="2"/>
  <c r="F264" i="2"/>
  <c r="F263" i="2"/>
  <c r="F262" i="2"/>
  <c r="F251" i="2"/>
  <c r="F250" i="2"/>
  <c r="F248" i="2"/>
  <c r="F247" i="2"/>
  <c r="F246" i="2"/>
  <c r="F33" i="2"/>
  <c r="B83" i="2"/>
  <c r="B84" i="2"/>
  <c r="B82" i="2"/>
  <c r="B81" i="2"/>
  <c r="F27" i="2"/>
  <c r="F21" i="2"/>
  <c r="F15" i="2"/>
  <c r="B80" i="2"/>
  <c r="E18" i="1"/>
  <c r="D81" i="2" l="1"/>
  <c r="K67" i="2"/>
  <c r="D85" i="2"/>
  <c r="K63" i="2"/>
  <c r="D84" i="2"/>
  <c r="K59" i="2"/>
  <c r="D83" i="2"/>
  <c r="K55" i="2"/>
  <c r="D82" i="2"/>
  <c r="K47" i="2"/>
  <c r="D80" i="2"/>
  <c r="K51" i="2"/>
  <c r="C158" i="2"/>
  <c r="E156" i="2" l="1"/>
  <c r="E157" i="2"/>
  <c r="K113" i="1"/>
  <c r="G72" i="1"/>
  <c r="C44" i="2"/>
  <c r="B51" i="2" s="1"/>
  <c r="A79" i="1" s="1"/>
  <c r="B103" i="2"/>
  <c r="B99" i="2"/>
  <c r="B95" i="2"/>
  <c r="C132" i="2"/>
  <c r="A22" i="3" s="1"/>
  <c r="D144" i="2"/>
  <c r="D143" i="2"/>
  <c r="C145" i="2"/>
  <c r="C152" i="2" s="1"/>
  <c r="B31" i="2"/>
  <c r="B30" i="2"/>
  <c r="B24" i="2"/>
  <c r="B18" i="2"/>
  <c r="C19" i="2" s="1"/>
  <c r="B13" i="2"/>
  <c r="C14" i="2" s="1"/>
  <c r="B12" i="2"/>
  <c r="A135" i="1"/>
  <c r="C140" i="2" l="1"/>
  <c r="N12" i="2"/>
  <c r="G35" i="1"/>
  <c r="B47" i="2"/>
  <c r="A72" i="1" s="1"/>
  <c r="B72" i="2"/>
  <c r="B73" i="2"/>
  <c r="C32" i="2"/>
  <c r="H15" i="2"/>
  <c r="G28" i="1"/>
  <c r="C25" i="2"/>
  <c r="F158" i="2"/>
  <c r="B102" i="2"/>
  <c r="B101" i="2"/>
  <c r="B100" i="2"/>
  <c r="B98" i="2"/>
  <c r="B97" i="2"/>
  <c r="B96" i="2"/>
  <c r="B94" i="2"/>
  <c r="B93" i="2"/>
  <c r="F186" i="2"/>
  <c r="F187" i="2"/>
  <c r="F190" i="2"/>
  <c r="F191" i="2"/>
  <c r="F192" i="2"/>
  <c r="F201" i="2"/>
  <c r="F202" i="2"/>
  <c r="F203" i="2"/>
  <c r="F206" i="2"/>
  <c r="F207" i="2"/>
  <c r="F208" i="2"/>
  <c r="F211" i="2"/>
  <c r="F212" i="2"/>
  <c r="F213" i="2"/>
  <c r="F222" i="2"/>
  <c r="F223" i="2"/>
  <c r="F224" i="2"/>
  <c r="F227" i="2"/>
  <c r="F228" i="2"/>
  <c r="F229" i="2"/>
  <c r="F232" i="2"/>
  <c r="F233" i="2"/>
  <c r="F234" i="2"/>
  <c r="F185" i="2"/>
  <c r="O147" i="1" l="1"/>
  <c r="C22" i="3" s="1"/>
  <c r="O159" i="1"/>
  <c r="C25" i="3" s="1"/>
  <c r="N13" i="2"/>
  <c r="N18" i="2"/>
  <c r="I60" i="1" s="1"/>
  <c r="N23" i="2"/>
  <c r="K18" i="2"/>
  <c r="K17" i="2"/>
  <c r="K12" i="2"/>
  <c r="K13" i="2"/>
  <c r="K11" i="2"/>
  <c r="N24" i="2"/>
  <c r="I62" i="1" s="1"/>
  <c r="H156" i="2"/>
  <c r="H157" i="2"/>
  <c r="D51" i="2"/>
  <c r="D47" i="2"/>
  <c r="G49" i="1"/>
  <c r="C104" i="2"/>
  <c r="G42" i="1"/>
  <c r="B67" i="2" l="1"/>
  <c r="B63" i="2"/>
  <c r="B59" i="2"/>
  <c r="B55" i="2"/>
  <c r="A19" i="3"/>
  <c r="A166" i="1"/>
  <c r="A169" i="1" s="1"/>
  <c r="E169" i="1"/>
  <c r="A173" i="1"/>
  <c r="Q147" i="1"/>
  <c r="B87" i="2"/>
  <c r="B88" i="2"/>
  <c r="Q159" i="1"/>
  <c r="I58" i="1"/>
  <c r="K24" i="2"/>
  <c r="K23" i="2"/>
  <c r="I158" i="2"/>
  <c r="A142" i="1"/>
  <c r="C124" i="2"/>
  <c r="C123" i="2"/>
  <c r="B111" i="2"/>
  <c r="E173" i="1" l="1"/>
  <c r="A177" i="1"/>
  <c r="E142" i="1"/>
  <c r="C112" i="2"/>
  <c r="N31" i="2"/>
  <c r="N30" i="2"/>
  <c r="I64" i="1" s="1"/>
  <c r="K30" i="2"/>
  <c r="K31" i="2"/>
  <c r="K29" i="2"/>
  <c r="K157" i="2"/>
  <c r="K156" i="2"/>
  <c r="C120" i="2" l="1"/>
  <c r="O120" i="1" s="1"/>
  <c r="L158" i="2"/>
  <c r="O179" i="1" l="1"/>
  <c r="C26" i="3" s="1"/>
  <c r="E177" i="1"/>
  <c r="A93" i="1"/>
  <c r="A86" i="1"/>
  <c r="B76" i="2"/>
  <c r="A107" i="1"/>
  <c r="A100" i="1"/>
  <c r="B77" i="2"/>
  <c r="Q120" i="1" l="1"/>
  <c r="C19" i="3"/>
  <c r="B86" i="2"/>
  <c r="D67" i="2"/>
  <c r="D59" i="2"/>
  <c r="D55" i="2"/>
  <c r="D63" i="2"/>
  <c r="D86" i="2" l="1"/>
  <c r="B85" i="2" s="1"/>
  <c r="C89" i="2" s="1"/>
  <c r="L55" i="2" l="1"/>
  <c r="L59" i="2"/>
  <c r="L67" i="2"/>
  <c r="L63" i="2"/>
  <c r="L47" i="2"/>
  <c r="L51" i="2"/>
  <c r="L30" i="2"/>
  <c r="L31" i="2"/>
  <c r="L29" i="2"/>
  <c r="L24" i="2"/>
  <c r="L23" i="2"/>
  <c r="L18" i="2"/>
  <c r="L17" i="2"/>
  <c r="L12" i="2"/>
  <c r="L13" i="2"/>
  <c r="L11" i="2"/>
  <c r="M30" i="2"/>
  <c r="M31" i="2"/>
  <c r="M24" i="2"/>
  <c r="M18" i="2"/>
  <c r="M67" i="2"/>
  <c r="I107" i="1" s="1"/>
  <c r="Q107" i="1" s="1"/>
  <c r="M13" i="2"/>
  <c r="M11" i="2"/>
  <c r="M55" i="2"/>
  <c r="I86" i="1" s="1"/>
  <c r="Q86" i="1" s="1"/>
  <c r="M51" i="2"/>
  <c r="I79" i="1" s="1"/>
  <c r="Q79" i="1" s="1"/>
  <c r="M59" i="2"/>
  <c r="I93" i="1" s="1"/>
  <c r="Q93" i="1" s="1"/>
  <c r="M47" i="2"/>
  <c r="I72" i="1" s="1"/>
  <c r="Q72" i="1" s="1"/>
  <c r="M63" i="2"/>
  <c r="I100" i="1" s="1"/>
  <c r="Q100" i="1" s="1"/>
  <c r="M79" i="1" l="1"/>
  <c r="B12" i="3" s="1"/>
  <c r="M12" i="2"/>
  <c r="M17" i="2"/>
  <c r="I35" i="1" s="1"/>
  <c r="Q35" i="1" s="1"/>
  <c r="M23" i="2"/>
  <c r="M29" i="2"/>
  <c r="I49" i="1" s="1"/>
  <c r="Q49" i="1" s="1"/>
  <c r="I42" i="1"/>
  <c r="Q42" i="1" s="1"/>
  <c r="I28" i="1"/>
  <c r="Q28" i="1" s="1"/>
  <c r="M28" i="1"/>
  <c r="B5" i="3" s="1"/>
  <c r="M42" i="1"/>
  <c r="M35" i="1"/>
  <c r="O79" i="1"/>
  <c r="C12" i="3" s="1"/>
  <c r="M107" i="1"/>
  <c r="B16" i="3" s="1"/>
  <c r="O60" i="1" l="1"/>
  <c r="B6" i="3"/>
  <c r="O62" i="1"/>
  <c r="B7" i="3"/>
  <c r="O107" i="1"/>
  <c r="C16" i="3" s="1"/>
  <c r="M93" i="1"/>
  <c r="B14" i="3" s="1"/>
  <c r="M49" i="1"/>
  <c r="O49" i="1" s="1"/>
  <c r="O64" i="1"/>
  <c r="O28" i="1"/>
  <c r="O58" i="1"/>
  <c r="O42" i="1"/>
  <c r="O35" i="1"/>
  <c r="O93" i="1"/>
  <c r="C14" i="3" s="1"/>
  <c r="Q60" i="1" l="1"/>
  <c r="C6" i="3"/>
  <c r="Q62" i="1"/>
  <c r="C7" i="3"/>
  <c r="Q64" i="1"/>
  <c r="C8" i="3"/>
  <c r="C5" i="3"/>
  <c r="Q58" i="1"/>
  <c r="M72" i="1"/>
  <c r="B11" i="3" s="1"/>
  <c r="M100" i="1" l="1"/>
  <c r="M86" i="1"/>
  <c r="B13" i="3" s="1"/>
  <c r="O72" i="1"/>
  <c r="C11" i="3" s="1"/>
  <c r="O100" i="1" l="1"/>
  <c r="B15" i="3"/>
  <c r="O86" i="1"/>
  <c r="M113" i="1"/>
  <c r="Q113" i="1" s="1"/>
  <c r="O115" i="1" l="1"/>
  <c r="O183" i="1" s="1"/>
  <c r="C13" i="3"/>
  <c r="C15" i="3"/>
  <c r="C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113" authorId="0" shapeId="0" xr:uid="{107DA202-5AD8-496D-AFF7-164D7EE92795}">
      <text>
        <r>
          <rPr>
            <b/>
            <sz val="9"/>
            <color indexed="81"/>
            <rFont val="Tahoma"/>
            <family val="2"/>
          </rPr>
          <t>Toelichting:</t>
        </r>
        <r>
          <rPr>
            <sz val="9"/>
            <color indexed="81"/>
            <rFont val="Tahoma"/>
            <family val="2"/>
          </rPr>
          <t xml:space="preserve">
Het minimum subsidiabele oppervlak bedraagt 8 m².Bij een kleiner oppervlak komen isolerend glas, panelen en deuren niet in aanmerking voor subsidie.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De volgorde daarbij is:
Triple glas U ≤ 0,7 W/m²K
Isolerende deur Ud ≤ 1,0 W/m²K
Panelen in kozijn U ≤ 0,7 W/m²K
HR++ glas U ≤ 1,2 W/m²K
Isolerende deur Ud ≤  1,5 W/m²K
Panelen in kozijn U ≤ 1,2 W/m²K
</t>
        </r>
      </text>
    </comment>
  </commentList>
</comments>
</file>

<file path=xl/sharedStrings.xml><?xml version="1.0" encoding="utf-8"?>
<sst xmlns="http://schemas.openxmlformats.org/spreadsheetml/2006/main" count="555" uniqueCount="317">
  <si>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</si>
  <si>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</si>
  <si>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</si>
  <si>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</si>
  <si>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</si>
  <si>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</si>
  <si>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</si>
  <si>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</si>
  <si>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</si>
  <si>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</si>
  <si>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</si>
  <si>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Bedrag</t>
  </si>
  <si>
    <t>Lucht-water &lt; 1 kW</t>
  </si>
  <si>
    <t>Grond-water &lt; 1 kW</t>
  </si>
  <si>
    <t>Grond-water ≥ 1 kW en &lt; 10 kW</t>
  </si>
  <si>
    <t>Water-water &lt; 1 kW</t>
  </si>
  <si>
    <t>Water-water ≥ 1 kW en &lt; 10 kW</t>
  </si>
  <si>
    <t>Isolerende maatregel</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</si>
  <si>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</si>
  <si>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</si>
  <si>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</si>
  <si>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</si>
  <si>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</si>
  <si>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</si>
  <si>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</si>
  <si>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</si>
  <si>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</si>
  <si>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</si>
  <si>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</si>
  <si>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Kozijnpanelen en isolerende deur alleen in combinatie met HR++ of triple glas</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</si>
  <si>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t>
    </r>
  </si>
  <si>
    <r>
      <t>Zolder-of vlieringisolatie, Rd ≥ 3,5 m</t>
    </r>
    <r>
      <rPr>
        <vertAlign val="superscript"/>
        <sz val="11"/>
        <color theme="1"/>
        <rFont val="Calibri"/>
        <family val="2"/>
        <scheme val="minor"/>
      </rPr>
      <t>2</t>
    </r>
    <r>
      <rPr>
        <sz val="11"/>
        <color theme="1"/>
        <rFont val="Calibri"/>
        <family val="2"/>
        <scheme val="minor"/>
      </rPr>
      <t xml:space="preserve"> K/W</t>
    </r>
  </si>
  <si>
    <r>
      <t>Binnen-of buitengevelisolatie, Rd ≥ 3,5m</t>
    </r>
    <r>
      <rPr>
        <vertAlign val="superscript"/>
        <sz val="11"/>
        <color theme="1"/>
        <rFont val="Calibri"/>
        <family val="2"/>
        <scheme val="minor"/>
      </rPr>
      <t>2</t>
    </r>
    <r>
      <rPr>
        <sz val="11"/>
        <color theme="1"/>
        <rFont val="Calibri"/>
        <family val="2"/>
        <scheme val="minor"/>
      </rPr>
      <t xml:space="preserve"> K/W</t>
    </r>
  </si>
  <si>
    <r>
      <t>Spouwmuurisolatie, Rd ≥ 1,1 m</t>
    </r>
    <r>
      <rPr>
        <vertAlign val="superscript"/>
        <sz val="11"/>
        <color theme="1"/>
        <rFont val="Calibri"/>
        <family val="2"/>
        <scheme val="minor"/>
      </rPr>
      <t>2</t>
    </r>
    <r>
      <rPr>
        <sz val="11"/>
        <color theme="1"/>
        <rFont val="Calibri"/>
        <family val="2"/>
        <scheme val="minor"/>
      </rPr>
      <t xml:space="preserve"> K/W</t>
    </r>
  </si>
  <si>
    <r>
      <t>Vloerisolatie, Rd ≥ 3,5m</t>
    </r>
    <r>
      <rPr>
        <vertAlign val="superscript"/>
        <sz val="11"/>
        <color theme="1"/>
        <rFont val="Calibri"/>
        <family val="2"/>
        <scheme val="minor"/>
      </rPr>
      <t>2</t>
    </r>
    <r>
      <rPr>
        <sz val="11"/>
        <color theme="1"/>
        <rFont val="Calibri"/>
        <family val="2"/>
        <scheme val="minor"/>
      </rPr>
      <t xml:space="preserve"> K/W</t>
    </r>
  </si>
  <si>
    <r>
      <t>Bodemisolatie, Rd ≥ 3,5m</t>
    </r>
    <r>
      <rPr>
        <vertAlign val="superscript"/>
        <sz val="11"/>
        <color theme="1"/>
        <rFont val="Calibri"/>
        <family val="2"/>
        <scheme val="minor"/>
      </rPr>
      <t>2</t>
    </r>
    <r>
      <rPr>
        <sz val="11"/>
        <color theme="1"/>
        <rFont val="Calibri"/>
        <family val="2"/>
        <scheme val="minor"/>
      </rPr>
      <t xml:space="preserve"> K/W</t>
    </r>
  </si>
  <si>
    <r>
      <t xml:space="preserve">HR++ glas, U </t>
    </r>
    <r>
      <rPr>
        <sz val="11"/>
        <color theme="1"/>
        <rFont val="Calibri"/>
        <family val="2"/>
      </rPr>
      <t xml:space="preserve">≤ 1,2 </t>
    </r>
    <r>
      <rPr>
        <sz val="11"/>
        <color theme="1"/>
        <rFont val="Calibri"/>
        <family val="2"/>
        <scheme val="minor"/>
      </rPr>
      <t>W/m</t>
    </r>
    <r>
      <rPr>
        <vertAlign val="superscript"/>
        <sz val="11"/>
        <color theme="1"/>
        <rFont val="Calibri"/>
        <family val="2"/>
        <scheme val="minor"/>
      </rPr>
      <t>2</t>
    </r>
    <r>
      <rPr>
        <sz val="11"/>
        <color theme="1"/>
        <rFont val="Calibri"/>
        <family val="2"/>
        <scheme val="minor"/>
      </rPr>
      <t>K</t>
    </r>
  </si>
  <si>
    <r>
      <t>Panelen in kozijn, U ≤ 1,2 W/m</t>
    </r>
    <r>
      <rPr>
        <vertAlign val="superscript"/>
        <sz val="11"/>
        <color theme="1"/>
        <rFont val="Calibri"/>
        <family val="2"/>
        <scheme val="minor"/>
      </rPr>
      <t>2</t>
    </r>
    <r>
      <rPr>
        <sz val="11"/>
        <color theme="1"/>
        <rFont val="Calibri"/>
        <family val="2"/>
        <scheme val="minor"/>
      </rPr>
      <t>K</t>
    </r>
  </si>
  <si>
    <r>
      <t>Triple glas, U ≤ 0,7 W/m</t>
    </r>
    <r>
      <rPr>
        <vertAlign val="superscript"/>
        <sz val="11"/>
        <color theme="1"/>
        <rFont val="Calibri"/>
        <family val="2"/>
        <scheme val="minor"/>
      </rPr>
      <t>2</t>
    </r>
    <r>
      <rPr>
        <sz val="11"/>
        <color theme="1"/>
        <rFont val="Calibri"/>
        <family val="2"/>
        <scheme val="minor"/>
      </rPr>
      <t>K</t>
    </r>
  </si>
  <si>
    <r>
      <t>Panelen in kozijn, U ≤ 0,7 W/m</t>
    </r>
    <r>
      <rPr>
        <vertAlign val="superscript"/>
        <sz val="11"/>
        <color theme="1"/>
        <rFont val="Calibri"/>
        <family val="2"/>
        <scheme val="minor"/>
      </rPr>
      <t>2</t>
    </r>
    <r>
      <rPr>
        <sz val="11"/>
        <color theme="1"/>
        <rFont val="Calibri"/>
        <family val="2"/>
        <scheme val="minor"/>
      </rPr>
      <t>K</t>
    </r>
  </si>
  <si>
    <r>
      <t>Isolerende deur, Ud ≤ 1,0 W/m</t>
    </r>
    <r>
      <rPr>
        <vertAlign val="superscript"/>
        <sz val="11"/>
        <color theme="1"/>
        <rFont val="Calibri"/>
        <family val="2"/>
        <scheme val="minor"/>
      </rPr>
      <t>2</t>
    </r>
    <r>
      <rPr>
        <sz val="11"/>
        <color theme="1"/>
        <rFont val="Calibri"/>
        <family val="2"/>
        <scheme val="minor"/>
      </rPr>
      <t>K</t>
    </r>
  </si>
  <si>
    <r>
      <t>Isolerende deur, Ud ≤ 1,5 W/m</t>
    </r>
    <r>
      <rPr>
        <vertAlign val="superscript"/>
        <sz val="11"/>
        <color theme="1"/>
        <rFont val="Calibri"/>
        <family val="2"/>
        <scheme val="minor"/>
      </rPr>
      <t>2</t>
    </r>
    <r>
      <rPr>
        <sz val="11"/>
        <color theme="1"/>
        <rFont val="Calibri"/>
        <family val="2"/>
        <scheme val="minor"/>
      </rPr>
      <t>K</t>
    </r>
  </si>
  <si>
    <t xml:space="preserve">Glas-, kozijnpanelen- of isolerende deur	</t>
  </si>
  <si>
    <t>Keuzelijst warmtepomp</t>
  </si>
  <si>
    <t>Geen warmtepomp</t>
  </si>
  <si>
    <t>Kies soort warmtepomp:</t>
  </si>
  <si>
    <t>Kies soort zonneboiler:</t>
  </si>
  <si>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</si>
  <si>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</si>
  <si>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</si>
  <si>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</si>
  <si>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</si>
  <si>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</si>
  <si>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</si>
  <si>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</si>
  <si>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</si>
  <si>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</si>
  <si>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</si>
  <si>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</si>
  <si>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</si>
  <si>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</si>
  <si>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</si>
  <si>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</si>
  <si>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</si>
  <si>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elektrische kookvoorziening (</t>
    </r>
    <r>
      <rPr>
        <sz val="11"/>
        <rFont val="Calibri"/>
        <family val="2"/>
      </rPr>
      <t>€)</t>
    </r>
    <r>
      <rPr>
        <sz val="11"/>
        <rFont val="Calibri"/>
        <family val="2"/>
        <scheme val="minor"/>
      </rPr>
      <t>:</t>
    </r>
  </si>
  <si>
    <t>Keuzelijst energie-efficiency klasse</t>
  </si>
  <si>
    <t>Toeslag euro/kW vermogen</t>
  </si>
  <si>
    <t>Ondergrens vermogen voor toeslag euro/kW</t>
  </si>
  <si>
    <t>Bovengrens vermogen voor toeslag euro/kW</t>
  </si>
  <si>
    <t>Ondergrens</t>
  </si>
  <si>
    <t>Bovengrens</t>
  </si>
  <si>
    <t>Overzicht categorieën en kentallen</t>
  </si>
  <si>
    <t>Keuzelijsten en vervolglijsten</t>
  </si>
  <si>
    <t>Keuzelijst dakisolatie</t>
  </si>
  <si>
    <t>keuzelijst gevelisolatie</t>
  </si>
  <si>
    <t>keuzelijst spouwmuurisolatie</t>
  </si>
  <si>
    <t>Keuzelijst vloerisolatie</t>
  </si>
  <si>
    <t>Minimum subsidiabel oppervlak</t>
  </si>
  <si>
    <t>Maximum subsidiabel oppervlak</t>
  </si>
  <si>
    <t>Datum uitvoering isolatiemaatregel</t>
  </si>
  <si>
    <t>Keuzelijst datum uitvoering maatregel</t>
  </si>
  <si>
    <t>HR++ glas, U ≤ 1,2 W/m2K en/of Triple glas, U ≤ 0,7 W/m2K</t>
  </si>
  <si>
    <t>Tabel bij keuze HR++ glas, U ≤ 1,2 W/m2K en/of Triple glas, U ≤ 0,7 W/m2K</t>
  </si>
  <si>
    <t>Antwoord op vraag uitvoeringsdatum</t>
  </si>
  <si>
    <t>Subsidiebedrag  2022 (euro/m2)</t>
  </si>
  <si>
    <t>Subsidiebedrag  2023 (euro/m2)</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</si>
  <si>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(alleen vanaf 2 april 2022)</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</si>
  <si>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vanaf 1 januari 2023</t>
    </r>
  </si>
  <si>
    <t xml:space="preserve">Totaal aantal geselecteerde cateogorieën </t>
  </si>
  <si>
    <t>Subsidiebedrag multiplier</t>
  </si>
  <si>
    <t>Berekend subsidiebedrag per m2 (afhankelijk van uitvoeringsdatum en aantal maatregelen)</t>
  </si>
  <si>
    <t>Tarief o.b.v. gekozen jaar</t>
  </si>
  <si>
    <t>Tellertje aantal geselecteerde technieken t.b.v. verdubbeling tarief isolatiemaatregelen</t>
  </si>
  <si>
    <t xml:space="preserve">Keuzelijst vraag type glas </t>
  </si>
  <si>
    <t>Keuzelijst type panelen en deuren</t>
  </si>
  <si>
    <t>Antwoord op ja/nee vraag bij type glas, deuren en panelen (1=Ja, 2=Nee)</t>
  </si>
  <si>
    <t>1. Heeft u al eerder ISDE-subsidie ontvangen?</t>
  </si>
  <si>
    <t>Heeft u al eerder ISDE-subsidie ontvangen?</t>
  </si>
  <si>
    <t>Keuzelijst vraag eerder ISDE-subsidie ontvangen</t>
  </si>
  <si>
    <t>Ja</t>
  </si>
  <si>
    <t>Nee</t>
  </si>
  <si>
    <t xml:space="preserve">Meer informatie over de onderstaande technieken vindt u op de ISDE-website: </t>
  </si>
  <si>
    <t>2. Wilt u isolatiemaatregelen laten uitvoeren?</t>
  </si>
  <si>
    <t xml:space="preserve">Let op: </t>
  </si>
  <si>
    <t xml:space="preserve">Kies in uw subsidieaanvraag tussen dakisolatie of zolder/vlieringisolatie: u krijgt maar voor één van deze maatregelen subsidie. </t>
  </si>
  <si>
    <t>Kies in uw subsidieaanvraag tussen vloerisolatie of bodemisolatie: u krijgt maar voor één van deze maatregelen subsidie.</t>
  </si>
  <si>
    <t>5. Wilt u een bestaande koopwoning laten aansluiten op een warmtenet?</t>
  </si>
  <si>
    <t>3. Wilt u een warmtepomp laten installeren?</t>
  </si>
  <si>
    <t>4. Wilt u een zonneboiler laten installeren?</t>
  </si>
  <si>
    <t>Wilt u glasisolatie laten plaatsen?</t>
  </si>
  <si>
    <t xml:space="preserve">Kiest u voor HR++ en/of Triple glasisolatie? Dan komen ook onderstaande types panelen en deuren in aanmerking. </t>
  </si>
  <si>
    <t>Heeft u voor de aansluiting warmtenet al  eerder  subsidie ontvangen van de Rijksoverheid?</t>
  </si>
  <si>
    <t xml:space="preserve"> </t>
  </si>
  <si>
    <t>Keuzelijsten elektrische kookvoorziening</t>
  </si>
  <si>
    <t xml:space="preserve"> Is uw woning aangesloten op een warmtenet?</t>
  </si>
  <si>
    <t>Is uw woning afgesloten van het aardgasnet en de elektrische kookvoorziening aangeschaft op of ná 1 april 2022?</t>
  </si>
  <si>
    <t>Heeft u uw woning op een warmtenet aangesloten?</t>
  </si>
  <si>
    <t xml:space="preserve">6. Wilt u een elektrische kookvoorziening aanschaffen? </t>
  </si>
  <si>
    <t>Wilt u een elektrische kookvoorziening aanschaffen?</t>
  </si>
  <si>
    <t>Subtellertje glastechnieken en m2</t>
  </si>
  <si>
    <t>MKI-bonus isolatiemateriaal</t>
  </si>
  <si>
    <t>Opmerkingen</t>
  </si>
  <si>
    <t xml:space="preserve">MKI-bonus isolatienateriaal </t>
  </si>
  <si>
    <t>Antwoord biobased vragen</t>
  </si>
  <si>
    <t>WAAR = biobased dakisolatie</t>
  </si>
  <si>
    <t>WAAR = biobased gevelisolatie</t>
  </si>
  <si>
    <t>WAAR = biobased spouwisolatie</t>
  </si>
  <si>
    <t>WAAR = biobased vloerisolatie</t>
  </si>
  <si>
    <t>Vink aan welke maatregelen biobased zijn (indien van toepassing).</t>
  </si>
  <si>
    <t xml:space="preserve"> (versie januari 2024) </t>
  </si>
  <si>
    <t>≤</t>
  </si>
  <si>
    <t>Tarief op basis van gekozen jaar</t>
  </si>
  <si>
    <t>Subsidiebedrag bij één maatregel 2022-2023 (euro/m2)</t>
  </si>
  <si>
    <t>Subsidiebedrag bij één maatregel 2024 (euro/m2)</t>
  </si>
  <si>
    <t>Type isolatie</t>
  </si>
  <si>
    <t>Vóór 2 april 2022 én ≤ 24 maanden geleden</t>
  </si>
  <si>
    <t>Op of ná 1 januari 2024</t>
  </si>
  <si>
    <t>2 april 2022 - 31 december 2023 én ≤ 24 maanden geleden</t>
  </si>
  <si>
    <t>Vast bedrag 2022-2023</t>
  </si>
  <si>
    <t>Totaal vast bedrag 2022-2023</t>
  </si>
  <si>
    <t>Extra bedrag/kW 2022-2023</t>
  </si>
  <si>
    <t>Warmtepomp 2022-2023</t>
  </si>
  <si>
    <t>Warmtepomp 2024</t>
  </si>
  <si>
    <t>Vast bedrag 2024</t>
  </si>
  <si>
    <t>Verhoging door energieklasse 2024</t>
  </si>
  <si>
    <t>Totaal vast bedrag 2024</t>
  </si>
  <si>
    <t>Extra bedrag/kW 2024</t>
  </si>
  <si>
    <r>
      <t xml:space="preserve">Lucht-water </t>
    </r>
    <r>
      <rPr>
        <sz val="11"/>
        <color theme="1"/>
        <rFont val="Calibri"/>
        <family val="2"/>
      </rPr>
      <t>≥ 1 kW en ≤ 70 kW</t>
    </r>
  </si>
  <si>
    <r>
      <t xml:space="preserve">Lucht-water </t>
    </r>
    <r>
      <rPr>
        <sz val="11"/>
        <rFont val="Calibri"/>
        <family val="2"/>
      </rPr>
      <t>≥ 71 kW en ≤ 400 kW</t>
    </r>
  </si>
  <si>
    <r>
      <t xml:space="preserve">Water-water ≥ 71 kW en </t>
    </r>
    <r>
      <rPr>
        <sz val="11"/>
        <rFont val="Calibri"/>
        <family val="2"/>
      </rPr>
      <t>≤</t>
    </r>
    <r>
      <rPr>
        <sz val="11"/>
        <rFont val="Calibri"/>
        <family val="2"/>
        <scheme val="minor"/>
      </rPr>
      <t xml:space="preserve"> 400 kW</t>
    </r>
  </si>
  <si>
    <r>
      <t xml:space="preserve">Water-water ≥ 10 kW en </t>
    </r>
    <r>
      <rPr>
        <sz val="11"/>
        <color theme="1"/>
        <rFont val="Calibri"/>
        <family val="2"/>
      </rPr>
      <t>≤</t>
    </r>
    <r>
      <rPr>
        <sz val="11"/>
        <color theme="1"/>
        <rFont val="Calibri"/>
        <family val="2"/>
        <scheme val="minor"/>
      </rPr>
      <t xml:space="preserve"> 70 kW</t>
    </r>
  </si>
  <si>
    <r>
      <t xml:space="preserve">Grond-water ≥ 10 kW en </t>
    </r>
    <r>
      <rPr>
        <sz val="11"/>
        <color theme="1"/>
        <rFont val="Calibri"/>
        <family val="2"/>
      </rPr>
      <t>≤</t>
    </r>
    <r>
      <rPr>
        <sz val="11"/>
        <color theme="1"/>
        <rFont val="Calibri"/>
        <family val="2"/>
        <scheme val="minor"/>
      </rPr>
      <t xml:space="preserve"> 70 kW</t>
    </r>
  </si>
  <si>
    <r>
      <t xml:space="preserve">Grond-water ≥ 71 kW en </t>
    </r>
    <r>
      <rPr>
        <sz val="11"/>
        <rFont val="Calibri"/>
        <family val="2"/>
      </rPr>
      <t>≤</t>
    </r>
    <r>
      <rPr>
        <sz val="11"/>
        <rFont val="Calibri"/>
        <family val="2"/>
        <scheme val="minor"/>
      </rPr>
      <t xml:space="preserve"> 400 kW</t>
    </r>
  </si>
  <si>
    <t>boven 71 kW</t>
  </si>
  <si>
    <t>Energieklasse A+++ of hoger</t>
  </si>
  <si>
    <t>Energieklasse A++</t>
  </si>
  <si>
    <t>Energieklasse A+</t>
  </si>
  <si>
    <t>Keuzelijst datum installatie warmtepomp</t>
  </si>
  <si>
    <t>Vóór 1 januari 2024 en ≤  24 maanden geleden</t>
  </si>
  <si>
    <t>Energie-efficiency klassen 2024</t>
  </si>
  <si>
    <t>Verhoging door energie-efficiency klasse 2022-2023</t>
  </si>
  <si>
    <t>Lucht-water &lt; 1 kW Energieklasse A+++ of hoger Vóór 1 januari 2024 en ≤  24 maanden geleden</t>
  </si>
  <si>
    <t>Lucht-water &lt; 1 kW Energieklasse A++ Vóór 1 januari 2024 en ≤  24 maanden geleden</t>
  </si>
  <si>
    <t>Lucht-water &lt; 1 kW Energieklasse A+ Vóór 1 januari 2024 en ≤  24 maanden geleden</t>
  </si>
  <si>
    <t>Lucht-water &lt; 1 kW Energieklasse A t/m G Vóór 1 januari 2024 en ≤  24 maanden geleden</t>
  </si>
  <si>
    <t>Lucht-water ≥ 1 kW en ≤ 70 kW Energieklasse A+++ of hoger Vóór 1 januari 2024 en ≤  24 maanden geleden</t>
  </si>
  <si>
    <t>Lucht-water ≥ 1 kW en ≤ 70 kW Energieklasse A++ Vóór 1 januari 2024 en ≤  24 maanden geleden</t>
  </si>
  <si>
    <t>Lucht-water ≥ 1 kW en ≤ 70 kW Energieklasse A+ Vóór 1 januari 2024 en ≤  24 maanden geleden</t>
  </si>
  <si>
    <t>Lucht-water ≥ 1 kW en ≤ 70 kW Energieklasse A t/m G Vóór 1 januari 2024 en ≤  24 maanden geleden</t>
  </si>
  <si>
    <t>Lucht-water ≥ 71 kW en ≤ 400 kW Energieklasse A+++ of hoger Vóór 1 januari 2024 en ≤  24 maanden geleden</t>
  </si>
  <si>
    <t>Lucht-water ≥ 71 kW en ≤ 400 kW Energieklasse A++ Vóór 1 januari 2024 en ≤  24 maanden geleden</t>
  </si>
  <si>
    <t>Lucht-water ≥ 71 kW en ≤ 400 kW Energieklasse A+ Vóór 1 januari 2024 en ≤  24 maanden geleden</t>
  </si>
  <si>
    <t>Lucht-water ≥ 71 kW en ≤ 400 kW Energieklasse A t/m G Vóór 1 januari 2024 en ≤  24 maanden geleden</t>
  </si>
  <si>
    <t>Samengestelde categorie-omschrijving 2022-2023</t>
  </si>
  <si>
    <t>Grond-water &lt; 1 kW Energieklasse A+++ of hoger Vóór 1 januari 2024 en ≤  24 maanden geleden</t>
  </si>
  <si>
    <t>Grond-water &lt; 1 kW Energieklasse A++ Vóór 1 januari 2024 en ≤  24 maanden geleden</t>
  </si>
  <si>
    <t>Grond-water &lt; 1 kW Energieklasse A+ Vóór 1 januari 2024 en ≤  24 maanden geleden</t>
  </si>
  <si>
    <t>Grond-water &lt; 1 kW Energieklasse A t/m G Vóór 1 januari 2024 en ≤  24 maanden geleden</t>
  </si>
  <si>
    <t>Grond-water ≥ 1 kW en &lt; 10 kW Energieklasse A+++ of hoger Vóór 1 januari 2024 en ≤  24 maanden geleden</t>
  </si>
  <si>
    <t>Grond-water ≥ 1 kW en &lt; 10 kW Energieklasse A++ Vóór 1 januari 2024 en ≤  24 maanden geleden</t>
  </si>
  <si>
    <t>Grond-water ≥ 1 kW en &lt; 10 kW Energieklasse A+ Vóór 1 januari 2024 en ≤  24 maanden geleden</t>
  </si>
  <si>
    <t>Grond-water ≥ 1 kW en &lt; 10 kW Energieklasse A t/m G Vóór 1 januari 2024 en ≤  24 maanden geleden</t>
  </si>
  <si>
    <t>Grond-water ≥ 10 kW en ≤ 70 kW Energieklasse A+++ of hoger Vóór 1 januari 2024 en ≤  24 maanden geleden</t>
  </si>
  <si>
    <t>Grond-water ≥ 10 kW en ≤ 70 kW Energieklasse A++ Vóór 1 januari 2024 en ≤  24 maanden geleden</t>
  </si>
  <si>
    <t>Grond-water ≥ 10 kW en ≤ 70 kW Energieklasse A+ Vóór 1 januari 2024 en ≤  24 maanden geleden</t>
  </si>
  <si>
    <t>Grond-water ≥ 10 kW en ≤ 70 kW Energieklasse A t/m G Vóór 1 januari 2024 en ≤  24 maanden geleden</t>
  </si>
  <si>
    <t>Grond-water ≥ 71 kW en ≤ 400 kW Energieklasse A+++ of hoger Vóór 1 januari 2024 en ≤  24 maanden geleden</t>
  </si>
  <si>
    <t>Grond-water ≥ 71 kW en ≤ 400 kW Energieklasse A++ Vóór 1 januari 2024 en ≤  24 maanden geleden</t>
  </si>
  <si>
    <t>Grond-water ≥ 71 kW en ≤ 400 kW Energieklasse A t/m G Vóór 1 januari 2024 en ≤  24 maanden geleden</t>
  </si>
  <si>
    <t>Water-water &lt; 1 kW Energieklasse A+++ of hoger Vóór 1 januari 2024 en ≤  24 maanden geleden</t>
  </si>
  <si>
    <t>Water-water &lt; 1 kW Energieklasse A++ Vóór 1 januari 2024 en ≤  24 maanden geleden</t>
  </si>
  <si>
    <t>Water-water &lt; 1 kW Energieklasse A+ Vóór 1 januari 2024 en ≤  24 maanden geleden</t>
  </si>
  <si>
    <t>Water-water &lt; 1 kW Energieklasse A t/m G Vóór 1 januari 2024 en ≤  24 maanden geleden</t>
  </si>
  <si>
    <t>Water-water ≥ 1 kW en &lt; 10 kW Energieklasse A+++ of hoger Vóór 1 januari 2024 en ≤  24 maanden geleden</t>
  </si>
  <si>
    <t>Water-water ≥ 1 kW en &lt; 10 kW Energieklasse A++ Vóór 1 januari 2024 en ≤  24 maanden geleden</t>
  </si>
  <si>
    <t>Water-water ≥ 1 kW en &lt; 10 kW Energieklasse A+ Vóór 1 januari 2024 en ≤  24 maanden geleden</t>
  </si>
  <si>
    <t>Water-water ≥ 1 kW en &lt; 10 kW Energieklasse A t/m G Vóór 1 januari 2024 en ≤  24 maanden geleden</t>
  </si>
  <si>
    <t>Water-water ≥ 10 kW en ≤ 70 kW Energieklasse A+++ of hoger Vóór 1 januari 2024 en ≤  24 maanden geleden</t>
  </si>
  <si>
    <t>Water-water ≥ 10 kW en ≤ 70 kW Energieklasse A++ Vóór 1 januari 2024 en ≤  24 maanden geleden</t>
  </si>
  <si>
    <t>Water-water ≥ 10 kW en ≤ 70 kW Energieklasse A+ Vóór 1 januari 2024 en ≤  24 maanden geleden</t>
  </si>
  <si>
    <t>Water-water ≥ 10 kW en ≤ 70 kW Energieklasse A t/m G Vóór 1 januari 2024 en ≤  24 maanden geleden</t>
  </si>
  <si>
    <t>Water-water ≥ 71 kW en ≤ 400 kW Energieklasse A+++ of hoger Vóór 1 januari 2024 en ≤  24 maanden geleden</t>
  </si>
  <si>
    <t>Water-water ≥ 71 kW en ≤ 400 kW Energieklasse A++ Vóór 1 januari 2024 en ≤  24 maanden geleden</t>
  </si>
  <si>
    <t>Water-water ≥ 71 kW en ≤ 400 kW Energieklasse A+ Vóór 1 januari 2024 en ≤  24 maanden geleden</t>
  </si>
  <si>
    <t>Water-water ≥ 71 kW en ≤ 400 kW Energieklasse A t/m G Vóór 1 januari 2024 en ≤  24 maanden geleden</t>
  </si>
  <si>
    <t>Samengestelde categorie-omschrijving t.b.v. zoeken in tabellen warmtepomp</t>
  </si>
  <si>
    <t>Lucht-water &lt; 1 kW Energieklasse A+++ of hoger Op of ná 1 januari 2024</t>
  </si>
  <si>
    <t>Lucht-water &lt; 1 kW Energieklasse A++ Op of ná 1 januari 2024</t>
  </si>
  <si>
    <t>Lucht-water &lt; 1 kW Energieklasse A+ Op of ná 1 januari 2024</t>
  </si>
  <si>
    <t>Lucht-water ≥ 1 kW en ≤ 70 kW Energieklasse A+++ of hoger Op of ná 1 januari 2024</t>
  </si>
  <si>
    <t>Lucht-water ≥ 1 kW en ≤ 70 kW Energieklasse A++ Op of ná 1 januari 2024</t>
  </si>
  <si>
    <t>Lucht-water ≥ 1 kW en ≤ 70 kW Energieklasse A+ Op of ná 1 januari 2024</t>
  </si>
  <si>
    <t>Lucht-water ≥ 1 kW en ≤ 70 kW Energieklasse A t/m G Op of ná 1 januari 2024</t>
  </si>
  <si>
    <t>Lucht-water ≥ 71 kW en ≤ 400 kW Energieklasse A+++ of hoger Op of ná 1 januari 2024</t>
  </si>
  <si>
    <t>Lucht-water ≥ 71 kW en ≤ 400 kW Energieklasse A++ Op of ná 1 januari 2024</t>
  </si>
  <si>
    <t>Lucht-water ≥ 71 kW en ≤ 400 kW Energieklasse A+ Op of ná 1 januari 2024</t>
  </si>
  <si>
    <t>Lucht-water ≥ 71 kW en ≤ 400 kW Energieklasse A t/m G Op of ná 1 januari 2024</t>
  </si>
  <si>
    <t>Grond-water &lt; 1 kW Energieklasse A+++ of hoger Op of ná 1 januari 2024</t>
  </si>
  <si>
    <t>Grond-water &lt; 1 kW Energieklasse A++ Op of ná 1 januari 2024</t>
  </si>
  <si>
    <t>Grond-water &lt; 1 kW Energieklasse A+ Op of ná 1 januari 2024</t>
  </si>
  <si>
    <t>Grond-water &lt; 1 kW Energieklasse A t/m G Op of ná 1 januari 2024</t>
  </si>
  <si>
    <t>Grond-water ≥ 1 kW en &lt; 10 kW Energieklasse A+++ of hoger Op of ná 1 januari 2024</t>
  </si>
  <si>
    <t>Grond-water ≥ 1 kW en &lt; 10 kW Energieklasse A++ Op of ná 1 januari 2024</t>
  </si>
  <si>
    <t>Grond-water ≥ 1 kW en &lt; 10 kW Energieklasse A+ Op of ná 1 januari 2024</t>
  </si>
  <si>
    <t>Grond-water ≥ 1 kW en &lt; 10 kW Energieklasse A t/m G Op of ná 1 januari 2024</t>
  </si>
  <si>
    <t>Grond-water ≥ 10 kW en ≤ 70 kW Energieklasse A+++ of hoger Op of ná 1 januari 2024</t>
  </si>
  <si>
    <t>Grond-water ≥ 10 kW en ≤ 70 kW Energieklasse A++ Op of ná 1 januari 2024</t>
  </si>
  <si>
    <t>Grond-water ≥ 10 kW en ≤ 70 kW Energieklasse A+ Op of ná 1 januari 2024</t>
  </si>
  <si>
    <t>Grond-water ≥ 10 kW en ≤ 70 kW Energieklasse A t/m G Op of ná 1 januari 2024</t>
  </si>
  <si>
    <t>Grond-water ≥ 71 kW en ≤ 400 kW Energieklasse A+++ of hoger Op of ná 1 januari 2024</t>
  </si>
  <si>
    <t>Grond-water ≥ 71 kW en ≤ 400 kW Energieklasse A++ Op of ná 1 januari 2024</t>
  </si>
  <si>
    <t>Grond-water ≥ 71 kW en ≤ 400 kW Energieklasse A+ Op of ná 1 januari 2024</t>
  </si>
  <si>
    <t>Grond-water ≥ 71 kW en ≤ 400 kW Energieklasse A t/m G Op of ná 1 januari 2024</t>
  </si>
  <si>
    <t>Water-water &lt; 1 kW Energieklasse A+++ of hoger Op of ná 1 januari 2024</t>
  </si>
  <si>
    <t>Water-water &lt; 1 kW Energieklasse A++ Op of ná 1 januari 2024</t>
  </si>
  <si>
    <t>Water-water &lt; 1 kW Energieklasse A+ Op of ná 1 januari 2024</t>
  </si>
  <si>
    <t>Water-water &lt; 1 kW Energieklasse A t/m G Op of ná 1 januari 2024</t>
  </si>
  <si>
    <t>Water-water ≥ 1 kW en &lt; 10 kW Energieklasse A+++ of hoger Op of ná 1 januari 2024</t>
  </si>
  <si>
    <t>Water-water ≥ 1 kW en &lt; 10 kW Energieklasse A++ Op of ná 1 januari 2024</t>
  </si>
  <si>
    <t>Water-water ≥ 1 kW en &lt; 10 kW Energieklasse A+ Op of ná 1 januari 2024</t>
  </si>
  <si>
    <t>Water-water ≥ 1 kW en &lt; 10 kW Energieklasse A t/m G Op of ná 1 januari 2024</t>
  </si>
  <si>
    <t>Water-water ≥ 10 kW en ≤ 70 kW Energieklasse A+++ of hoger Op of ná 1 januari 2024</t>
  </si>
  <si>
    <t>Water-water ≥ 10 kW en ≤ 70 kW Energieklasse A++ Op of ná 1 januari 2024</t>
  </si>
  <si>
    <t>Water-water ≥ 10 kW en ≤ 70 kW Energieklasse A+ Op of ná 1 januari 2024</t>
  </si>
  <si>
    <t>Water-water ≥ 10 kW en ≤ 70 kW Energieklasse A t/m G Op of ná 1 januari 2024</t>
  </si>
  <si>
    <t>Water-water ≥ 71 kW en ≤ 400 kW Energieklasse A+++ of hoger Op of ná 1 januari 2024</t>
  </si>
  <si>
    <t>Water-water ≥ 71 kW en ≤ 400 kW Energieklasse A++ Op of ná 1 januari 2024</t>
  </si>
  <si>
    <t>Water-water ≥ 71 kW en ≤ 400 kW Energieklasse A+ Op of ná 1 januari 2024</t>
  </si>
  <si>
    <t>Water-water ≥ 71 kW en ≤ 400 kW Energieklasse A t/m G Op of ná 1 januari 2024</t>
  </si>
  <si>
    <t>Lucht-water &lt; 1 kW Energieklasse A t/m G Op of ná 1 januari 2024</t>
  </si>
  <si>
    <t>Grond-water ≥ 71 kW en ≤ 400 kW Energieklasse A+ Vóór 1 januari 2024 en ≤  24 maanden geleden</t>
  </si>
  <si>
    <t>Geen aansluiting warmtenet</t>
  </si>
  <si>
    <t>Aansluiting op een warmtenet</t>
  </si>
  <si>
    <t>Geen aansluiting op een warmtenet</t>
  </si>
  <si>
    <t xml:space="preserve">Aansluiting op een warmtenet </t>
  </si>
  <si>
    <t>Aansluiting op een warmtenet Op of ná 1 januari 2024</t>
  </si>
  <si>
    <t>Keuzelijst datum aansluiting op een warmtenet</t>
  </si>
  <si>
    <t>Aansluiting op een warmtenet Vóór 1 januari 2024 en ≤  24 maanden geleden</t>
  </si>
  <si>
    <t>Keuzelijst datum installatie zonneboiler</t>
  </si>
  <si>
    <t>Samengestelde categorie-omschrijving t.b.v. zoeken in tabellen zonneboiler</t>
  </si>
  <si>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</si>
  <si>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</si>
  <si>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</si>
  <si>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</si>
  <si>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</si>
  <si>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</si>
  <si>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</si>
  <si>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</si>
  <si>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t xml:space="preserve">Energie-efficiency klasse voor dit type warmtepomp moet minimaal A++ zijn bij installatie vanaf 1 januari 2024.  </t>
  </si>
  <si>
    <t>2 april - 31 december 2022 ≤ 24 maanden geleden</t>
  </si>
  <si>
    <t>Op of ná 1 januari 2023</t>
  </si>
  <si>
    <r>
      <t xml:space="preserve">Biobased isolatiemaatregelen uitgevoerd vanaf </t>
    </r>
    <r>
      <rPr>
        <b/>
        <sz val="10"/>
        <color theme="1"/>
        <rFont val="Calibri"/>
        <family val="2"/>
        <scheme val="minor"/>
      </rPr>
      <t>1 januari 2024</t>
    </r>
    <r>
      <rPr>
        <sz val="10"/>
        <color theme="1"/>
        <rFont val="Calibri"/>
        <family val="2"/>
        <scheme val="minor"/>
      </rPr>
      <t xml:space="preserve"> komen in aanmerking voor een MKI-bonus.</t>
    </r>
  </si>
  <si>
    <r>
      <t>Subsidiabel oppervlak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</si>
  <si>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Subsidiebedrag per m</t>
    </r>
    <r>
      <rPr>
        <vertAlign val="superscript"/>
        <sz val="10"/>
        <color theme="1"/>
        <rFont val="Calibri"/>
        <family val="2"/>
        <scheme val="minor"/>
      </rPr>
      <t>2</t>
    </r>
    <r>
      <rPr>
        <sz val="10"/>
        <color theme="1"/>
        <rFont val="Calibri"/>
        <family val="2"/>
        <scheme val="minor"/>
      </rPr>
      <t xml:space="preserve"> (€)</t>
    </r>
  </si>
  <si>
    <r>
      <t>Te isoleren oppervlak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</si>
  <si>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t>
    </r>
  </si>
  <si>
    <r>
      <t>Subsidiebedrag maatregel (</t>
    </r>
    <r>
      <rPr>
        <sz val="10"/>
        <color theme="1"/>
        <rFont val="Calibri"/>
        <family val="2"/>
      </rPr>
      <t>€)</t>
    </r>
  </si>
  <si>
    <r>
      <t>MKI-bonus (</t>
    </r>
    <r>
      <rPr>
        <sz val="10"/>
        <color theme="1"/>
        <rFont val="Calibri"/>
        <family val="2"/>
      </rPr>
      <t>€)</t>
    </r>
  </si>
  <si>
    <r>
      <t>Gezamenlijk subsidiabel oppervlak glas+panelen+deuren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</si>
  <si>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(rekening houdend met 45 m</t>
    </r>
    <r>
      <rPr>
        <vertAlign val="superscript"/>
        <sz val="10"/>
        <color theme="1"/>
        <rFont val="Calibri"/>
        <family val="2"/>
        <scheme val="minor"/>
      </rPr>
      <t xml:space="preserve">2 </t>
    </r>
    <r>
      <rPr>
        <sz val="10"/>
        <color theme="1"/>
        <rFont val="Calibri"/>
        <family val="2"/>
        <scheme val="minor"/>
      </rPr>
      <t>maximum)</t>
    </r>
  </si>
  <si>
    <r>
      <t>Totaal glas, deuren, panelen m</t>
    </r>
    <r>
      <rPr>
        <b/>
        <vertAlign val="superscript"/>
        <sz val="10"/>
        <color theme="1"/>
        <rFont val="Calibri"/>
        <family val="2"/>
        <scheme val="minor"/>
      </rPr>
      <t>2</t>
    </r>
    <r>
      <rPr>
        <b/>
        <sz val="10"/>
        <color theme="1"/>
        <rFont val="Calibri"/>
        <family val="2"/>
        <scheme val="minor"/>
      </rPr>
      <t>:</t>
    </r>
  </si>
  <si>
    <r>
      <t>Subsidiebedrag warmtepomp (</t>
    </r>
    <r>
      <rPr>
        <sz val="10"/>
        <rFont val="Calibri"/>
        <family val="2"/>
      </rPr>
      <t>€)</t>
    </r>
  </si>
  <si>
    <r>
      <t>Totale indicatieve subsidiebedrag (</t>
    </r>
    <r>
      <rPr>
        <b/>
        <sz val="13"/>
        <color theme="1"/>
        <rFont val="Calibri"/>
        <family val="2"/>
      </rPr>
      <t>€):</t>
    </r>
  </si>
  <si>
    <r>
      <t>Subsidiebedrag aansluiting op warmtenet (</t>
    </r>
    <r>
      <rPr>
        <sz val="10"/>
        <rFont val="Calibri"/>
        <family val="2"/>
      </rPr>
      <t>€)</t>
    </r>
    <r>
      <rPr>
        <sz val="10"/>
        <rFont val="Calibri"/>
        <family val="2"/>
        <scheme val="minor"/>
      </rPr>
      <t>:</t>
    </r>
  </si>
  <si>
    <r>
      <t>Subsidiebedrag zonneboiler (</t>
    </r>
    <r>
      <rPr>
        <sz val="10"/>
        <rFont val="Calibri"/>
        <family val="2"/>
      </rPr>
      <t>€)</t>
    </r>
    <r>
      <rPr>
        <sz val="10"/>
        <rFont val="Calibri"/>
        <family val="2"/>
        <scheme val="minor"/>
      </rPr>
      <t>:</t>
    </r>
  </si>
  <si>
    <r>
      <t xml:space="preserve">Bereken in zes stappen uw mogelijke subsidie (Let op! U kunt naast de keuzerondjes alleen de </t>
    </r>
    <r>
      <rPr>
        <b/>
        <sz val="11"/>
        <color rgb="FF0070C0"/>
        <rFont val="Sans"/>
      </rPr>
      <t>blauwe velden</t>
    </r>
    <r>
      <rPr>
        <b/>
        <sz val="11"/>
        <color rgb="FF000000"/>
        <rFont val="Sans"/>
      </rPr>
      <t xml:space="preserve"> invullen of aanpassen):</t>
    </r>
  </si>
  <si>
    <t>Af te drukken overzicht gekozen maatregelen en subsidiebedragen</t>
  </si>
  <si>
    <t>Subsidiabel oppervlak (m2)</t>
  </si>
  <si>
    <t>Dakisolatie/zolder-of vlieringisolatie (incl. MKI-bonus)</t>
  </si>
  <si>
    <t>Binnen-of buitengevelisolatie (incl. MKI-bonus)</t>
  </si>
  <si>
    <t>Spouwmuurisolatie (incl. MKI-bonus)</t>
  </si>
  <si>
    <t>Vloer-of bodemisolatie (inc. MKI-bonus)</t>
  </si>
  <si>
    <t>Isolatiemaatregelen</t>
  </si>
  <si>
    <t>HR++ glas</t>
  </si>
  <si>
    <t>Triple glas</t>
  </si>
  <si>
    <r>
      <t xml:space="preserve">Isolerende panelen in kozijnen, U </t>
    </r>
    <r>
      <rPr>
        <sz val="11"/>
        <color theme="1"/>
        <rFont val="Calibri"/>
        <family val="2"/>
      </rPr>
      <t>≤</t>
    </r>
    <r>
      <rPr>
        <sz val="11"/>
        <color theme="1"/>
        <rFont val="Calibri"/>
        <family val="2"/>
        <scheme val="minor"/>
      </rPr>
      <t xml:space="preserve"> 0,7 W/m2K</t>
    </r>
  </si>
  <si>
    <t>Warmtepomp</t>
  </si>
  <si>
    <t>Aansluiting op een warmtenet (inclusief kookvoorziening)</t>
  </si>
  <si>
    <t>Isolerende beglazing, panelen en deuren</t>
  </si>
  <si>
    <t>Totaal subsidiebedrag</t>
  </si>
  <si>
    <t>(indicatief)</t>
  </si>
  <si>
    <r>
      <t>Subsidiebedrag (</t>
    </r>
    <r>
      <rPr>
        <b/>
        <sz val="12"/>
        <color theme="1"/>
        <rFont val="Calibri"/>
        <family val="2"/>
      </rPr>
      <t>€)</t>
    </r>
  </si>
  <si>
    <r>
      <t xml:space="preserve">Vermogen (indien </t>
    </r>
    <r>
      <rPr>
        <b/>
        <sz val="12"/>
        <color theme="1"/>
        <rFont val="Calibri"/>
        <family val="2"/>
      </rPr>
      <t>≥ 10 kW)</t>
    </r>
  </si>
  <si>
    <t>Aansluiting op een warmtenet/kookvoorziening</t>
  </si>
  <si>
    <t>Lucht-water ≥ 71 kW en ≤ 400 kW Niet van toepassing Vóór 1 januari 2024 en ≤  24 maanden geleden</t>
  </si>
  <si>
    <t>Grond-water ≥ 71 kW en ≤ 400 kW Niet van toepassing Vóór 1 januari 2024 en ≤  24 maanden geleden</t>
  </si>
  <si>
    <t>Water-water ≥ 71 kW en ≤ 400 kW Niet van toepassing Vóór 1 januari 2024 en ≤  24 maanden geleden</t>
  </si>
  <si>
    <t>Lucht-water ≥ 71 kW en ≤ 400 kW Niet van toepassing Op of ná 1 januari 2024</t>
  </si>
  <si>
    <t>Grond-water ≥ 71 kW en ≤ 400 kW Niet van toepassing Op of ná 1 januari 2024</t>
  </si>
  <si>
    <t>Water-water ≥ 71 kW en ≤ 400 kW Niet van toepassing Op of ná 1 januari 2024</t>
  </si>
  <si>
    <r>
      <t xml:space="preserve">Isolerende panelen in kozijnen, U </t>
    </r>
    <r>
      <rPr>
        <sz val="11"/>
        <color theme="1"/>
        <rFont val="Calibri"/>
        <family val="2"/>
      </rPr>
      <t>≤</t>
    </r>
    <r>
      <rPr>
        <sz val="11"/>
        <color theme="1"/>
        <rFont val="Calibri"/>
        <family val="2"/>
        <scheme val="minor"/>
      </rPr>
      <t xml:space="preserve"> 1,2 W/m2K</t>
    </r>
  </si>
  <si>
    <r>
      <t xml:space="preserve">Isolerende deur, U </t>
    </r>
    <r>
      <rPr>
        <sz val="11"/>
        <color theme="1"/>
        <rFont val="Calibri"/>
        <family val="2"/>
      </rPr>
      <t>≤</t>
    </r>
    <r>
      <rPr>
        <sz val="11"/>
        <color theme="1"/>
        <rFont val="Calibri"/>
        <family val="2"/>
        <scheme val="minor"/>
      </rPr>
      <t xml:space="preserve"> 1,5 W/m2K</t>
    </r>
  </si>
  <si>
    <r>
      <t xml:space="preserve">Isolerende deur, U </t>
    </r>
    <r>
      <rPr>
        <sz val="11"/>
        <color theme="1"/>
        <rFont val="Calibri"/>
        <family val="2"/>
      </rPr>
      <t>≤</t>
    </r>
    <r>
      <rPr>
        <sz val="11"/>
        <color theme="1"/>
        <rFont val="Calibri"/>
        <family val="2"/>
        <scheme val="minor"/>
      </rPr>
      <t xml:space="preserve"> 1,0 W/m2K</t>
    </r>
  </si>
  <si>
    <r>
      <t>Totaal glas, deuren en panelen (</t>
    </r>
    <r>
      <rPr>
        <b/>
        <sz val="10"/>
        <color theme="1"/>
        <rFont val="Calibri"/>
        <family val="2"/>
      </rPr>
      <t>€)</t>
    </r>
    <r>
      <rPr>
        <b/>
        <sz val="10"/>
        <color theme="1"/>
        <rFont val="Calibri"/>
        <family val="2"/>
        <scheme val="minor"/>
      </rPr>
      <t>:</t>
    </r>
  </si>
  <si>
    <r>
      <t xml:space="preserve">Deze rekentool is voor woningeigenaren (eigenaar-bewoners). Vul deze rekentool volledig in en krijg een goede indicatie van het te verwachten subsidiebedrag. Deze tool houdt rekening met het aantal maatregelen en wanneer die zijn uitgevoerd. 
Aan de berekening kunnen geen rechten worden ontleend.  
</t>
    </r>
    <r>
      <rPr>
        <i/>
        <sz val="11"/>
        <rFont val="Calibri"/>
        <family val="2"/>
        <scheme val="minor"/>
      </rPr>
      <t>* Voor monumenten is de "Rekentool ISDE voor woningeigenaren van monumenten" beschikbaar.</t>
    </r>
  </si>
  <si>
    <r>
      <t>MKI-bonus 
per m</t>
    </r>
    <r>
      <rPr>
        <vertAlign val="superscript"/>
        <sz val="10"/>
        <color theme="1"/>
        <rFont val="Calibri"/>
        <family val="2"/>
        <scheme val="minor"/>
      </rPr>
      <t>2</t>
    </r>
    <r>
      <rPr>
        <sz val="10"/>
        <color theme="1"/>
        <rFont val="Calibri"/>
        <family val="2"/>
        <scheme val="minor"/>
      </rPr>
      <t xml:space="preserve"> (€)</t>
    </r>
  </si>
  <si>
    <t>Rekentool ISDE voor woningeigenaren (met uitzondering van monumenten*)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</si>
</sst>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60">
    <font>
      <sz val="11"/>
      <color theme="1"/>
      <name val="Calibri"/>
      <family val="2"/>
      <scheme val="minor"/>
    </font>
    <font>
      <sz val="10"/>
      <color theme="1"/>
      <name val="Calibri"/>
      <family val="2"/>
      <scheme val="minor"/>
    </font>
    <font>
      <sz val="10"/>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2"/>
      <color rgb="FF000000"/>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
      <sz val="8"/>
      <color rgb="FF000000"/>
      <name val="Segoe UI"/>
      <family val="2"/>
    </font>
    <font>
      <b/>
      <sz val="12"/>
      <color rgb="FFFF0000"/>
      <name val="Calibri"/>
      <family val="2"/>
      <scheme val="minor"/>
    </font>
    <font>
      <b/>
      <sz val="10"/>
      <color theme="1"/>
      <name val="Calibri"/>
      <family val="2"/>
      <scheme val="minor"/>
    </font>
    <font>
      <sz val="10"/>
      <color theme="0"/>
      <name val="Calibri"/>
      <family val="2"/>
      <scheme val="minor"/>
    </font>
    <font>
      <b/>
      <sz val="10"/>
      <color rgb="FFD4351C"/>
      <name val="Calibri"/>
      <family val="2"/>
      <scheme val="minor"/>
    </font>
    <font>
      <sz val="10"/>
      <color rgb="FF000000"/>
      <name val="Calibri"/>
      <family val="2"/>
    </font>
    <font>
      <sz val="16"/>
      <name val="Sans"/>
    </font>
    <font>
      <sz val="16"/>
      <color rgb="FF000000"/>
      <name val="Sans"/>
    </font>
    <font>
      <b/>
      <sz val="11"/>
      <color rgb="FF000000"/>
      <name val="Sans"/>
    </font>
    <font>
      <b/>
      <sz val="11"/>
      <name val="Sans"/>
    </font>
    <font>
      <vertAlign val="superscript"/>
      <sz val="10"/>
      <color theme="1"/>
      <name val="Calibri"/>
      <family val="2"/>
      <scheme val="minor"/>
    </font>
    <font>
      <sz val="10"/>
      <color theme="1"/>
      <name val="Calibri"/>
      <family val="2"/>
    </font>
    <font>
      <b/>
      <sz val="10"/>
      <color rgb="FFFF0000"/>
      <name val="Calibri"/>
      <family val="2"/>
      <scheme val="minor"/>
    </font>
    <font>
      <b/>
      <vertAlign val="superscript"/>
      <sz val="10"/>
      <color theme="1"/>
      <name val="Calibri"/>
      <family val="2"/>
      <scheme val="minor"/>
    </font>
    <font>
      <b/>
      <sz val="10"/>
      <color theme="1"/>
      <name val="Calibri"/>
      <family val="2"/>
    </font>
    <font>
      <sz val="10"/>
      <name val="Calibri"/>
      <family val="2"/>
      <scheme val="minor"/>
    </font>
    <font>
      <sz val="10"/>
      <name val="Calibri"/>
      <family val="2"/>
    </font>
    <font>
      <sz val="10"/>
      <name val="Sans"/>
    </font>
    <font>
      <sz val="10"/>
      <color rgb="FFC00000"/>
      <name val="Calibri"/>
      <family val="2"/>
      <scheme val="minor"/>
    </font>
    <font>
      <b/>
      <sz val="13"/>
      <color theme="1"/>
      <name val="Calibri"/>
      <family val="2"/>
      <scheme val="minor"/>
    </font>
    <font>
      <b/>
      <sz val="13"/>
      <color theme="1"/>
      <name val="Calibri"/>
      <family val="2"/>
    </font>
    <font>
      <b/>
      <sz val="22"/>
      <name val="Sans"/>
    </font>
    <font>
      <b/>
      <sz val="11"/>
      <color rgb="FF0070C0"/>
      <name val="Sans"/>
    </font>
    <font>
      <b/>
      <sz val="20"/>
      <color theme="1"/>
      <name val="Calibri"/>
      <family val="2"/>
      <scheme val="minor"/>
    </font>
    <font>
      <b/>
      <sz val="18"/>
      <color theme="1"/>
      <name val="Calibri"/>
      <family val="2"/>
      <scheme val="minor"/>
    </font>
    <font>
      <b/>
      <sz val="12"/>
      <color theme="1"/>
      <name val="Calibri"/>
      <family val="2"/>
      <scheme val="minor"/>
    </font>
    <font>
      <b/>
      <sz val="12"/>
      <color theme="1"/>
      <name val="Calibri"/>
      <family val="2"/>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77">
    <xf numFmtId="0" fontId="0" fillId="0" borderId="0" xfId="0"/>
    <xf numFmtId="0" fontId="8" fillId="0" borderId="0" xfId="0" applyFont="1"/>
    <xf numFmtId="0" fontId="9" fillId="0" borderId="0" xfId="0" applyFont="1"/>
    <xf numFmtId="0" fontId="16" fillId="0" borderId="0" xfId="0" applyFont="1"/>
    <xf numFmtId="0" fontId="15"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right" vertical="top" wrapText="1"/>
    </xf>
    <xf numFmtId="0" fontId="0" fillId="0" borderId="0" xfId="0" applyFill="1"/>
    <xf numFmtId="0" fontId="8" fillId="0" borderId="0" xfId="0" applyFont="1" applyAlignment="1">
      <alignment vertical="top"/>
    </xf>
    <xf numFmtId="0" fontId="0" fillId="0" borderId="0" xfId="0" applyFont="1"/>
    <xf numFmtId="0" fontId="17" fillId="0" borderId="0" xfId="0" applyFont="1"/>
    <xf numFmtId="0" fontId="15" fillId="0" borderId="0" xfId="0" applyFont="1"/>
    <xf numFmtId="0" fontId="0" fillId="0" borderId="0" xfId="0" applyAlignment="1">
      <alignment wrapText="1"/>
    </xf>
    <xf numFmtId="0" fontId="21" fillId="0" borderId="0" xfId="0" applyFont="1"/>
    <xf numFmtId="0" fontId="23" fillId="0" borderId="0" xfId="0" applyFont="1"/>
    <xf numFmtId="0" fontId="16" fillId="0" borderId="0" xfId="0" applyFont="1" applyFill="1"/>
    <xf numFmtId="0" fontId="0" fillId="2" borderId="0" xfId="0" applyFill="1" applyProtection="1"/>
    <xf numFmtId="0" fontId="0" fillId="0" borderId="0" xfId="0" applyAlignment="1">
      <alignment wrapText="1"/>
    </xf>
    <xf numFmtId="0" fontId="0" fillId="3" borderId="0" xfId="0" applyFill="1" applyProtection="1"/>
    <xf numFmtId="0" fontId="4" fillId="3" borderId="0" xfId="0" applyFont="1" applyFill="1" applyProtection="1"/>
    <xf numFmtId="0" fontId="7" fillId="3" borderId="0" xfId="1" applyFont="1" applyFill="1" applyAlignment="1" applyProtection="1">
      <alignment horizontal="left" vertical="center"/>
    </xf>
    <xf numFmtId="0" fontId="3" fillId="3" borderId="0" xfId="1" applyFill="1" applyAlignment="1" applyProtection="1">
      <alignment horizontal="left" vertical="center"/>
    </xf>
    <xf numFmtId="0" fontId="26" fillId="3" borderId="0" xfId="0" applyFont="1" applyFill="1" applyAlignment="1" applyProtection="1">
      <alignment vertical="center"/>
    </xf>
    <xf numFmtId="0" fontId="27" fillId="3" borderId="0" xfId="0" applyFont="1" applyFill="1" applyAlignment="1" applyProtection="1">
      <alignment vertical="center"/>
    </xf>
    <xf numFmtId="0" fontId="30" fillId="3" borderId="0" xfId="0" applyFont="1" applyFill="1" applyProtection="1"/>
    <xf numFmtId="0" fontId="16" fillId="3" borderId="0" xfId="0" applyFont="1" applyFill="1" applyProtection="1"/>
    <xf numFmtId="0" fontId="0" fillId="3" borderId="0" xfId="0" applyFill="1" applyBorder="1" applyProtection="1"/>
    <xf numFmtId="4" fontId="0" fillId="3" borderId="1" xfId="0" applyNumberFormat="1" applyFill="1" applyBorder="1" applyProtection="1"/>
    <xf numFmtId="0" fontId="0" fillId="3" borderId="0" xfId="0" applyFill="1" applyAlignment="1" applyProtection="1">
      <alignment horizontal="center"/>
    </xf>
    <xf numFmtId="0" fontId="0" fillId="3" borderId="0" xfId="0" applyFill="1" applyBorder="1" applyAlignment="1" applyProtection="1">
      <alignment horizontal="center"/>
    </xf>
    <xf numFmtId="0" fontId="8" fillId="3" borderId="0" xfId="0" applyFont="1" applyFill="1" applyProtection="1"/>
    <xf numFmtId="3" fontId="0" fillId="3" borderId="0" xfId="0" applyNumberFormat="1" applyFill="1" applyBorder="1" applyProtection="1"/>
    <xf numFmtId="0" fontId="8" fillId="3" borderId="0" xfId="0" applyFont="1" applyFill="1" applyAlignment="1" applyProtection="1">
      <alignment vertical="center"/>
    </xf>
    <xf numFmtId="0" fontId="15" fillId="3" borderId="0" xfId="0" applyFont="1" applyFill="1" applyProtection="1"/>
    <xf numFmtId="0" fontId="15" fillId="3" borderId="0" xfId="0" applyFont="1" applyFill="1" applyBorder="1" applyProtection="1"/>
    <xf numFmtId="0" fontId="0" fillId="3" borderId="0" xfId="0" applyFill="1" applyAlignment="1" applyProtection="1">
      <alignment horizontal="left"/>
    </xf>
    <xf numFmtId="0" fontId="6" fillId="3" borderId="0" xfId="0" applyFont="1" applyFill="1" applyProtection="1"/>
    <xf numFmtId="0" fontId="9" fillId="3" borderId="0" xfId="0" applyFont="1" applyFill="1" applyProtection="1"/>
    <xf numFmtId="0" fontId="0" fillId="3" borderId="0" xfId="0" applyFill="1" applyAlignment="1" applyProtection="1"/>
    <xf numFmtId="0" fontId="28" fillId="3" borderId="0" xfId="0" applyFont="1" applyFill="1" applyProtection="1"/>
    <xf numFmtId="0" fontId="29" fillId="3" borderId="0" xfId="0" applyFont="1" applyFill="1" applyAlignment="1" applyProtection="1">
      <alignment wrapText="1"/>
    </xf>
    <xf numFmtId="0" fontId="28" fillId="3" borderId="0" xfId="0" applyFont="1" applyFill="1" applyBorder="1" applyAlignment="1" applyProtection="1">
      <alignment vertical="top"/>
    </xf>
    <xf numFmtId="0" fontId="0" fillId="3" borderId="0" xfId="0" applyFill="1" applyAlignment="1" applyProtection="1">
      <alignment vertical="top"/>
    </xf>
    <xf numFmtId="0" fontId="21" fillId="3" borderId="0" xfId="0" applyFont="1" applyFill="1" applyProtection="1"/>
    <xf numFmtId="0" fontId="10" fillId="0" borderId="0" xfId="0" applyFont="1"/>
    <xf numFmtId="1" fontId="16" fillId="0" borderId="0" xfId="0" applyNumberFormat="1" applyFont="1"/>
    <xf numFmtId="0" fontId="17" fillId="0" borderId="0" xfId="0" applyFont="1" applyAlignment="1">
      <alignment wrapText="1"/>
    </xf>
    <xf numFmtId="0" fontId="10" fillId="3" borderId="0" xfId="0" applyFont="1" applyFill="1" applyProtection="1"/>
    <xf numFmtId="0" fontId="15" fillId="0" borderId="0" xfId="0" applyFont="1" applyFill="1"/>
    <xf numFmtId="0" fontId="17" fillId="0" borderId="0" xfId="0" applyFont="1" applyFill="1" applyAlignment="1">
      <alignment wrapText="1"/>
    </xf>
    <xf numFmtId="0" fontId="8" fillId="0" borderId="0" xfId="0" applyFont="1" applyFill="1" applyAlignment="1">
      <alignment horizontal="left" wrapText="1"/>
    </xf>
    <xf numFmtId="0" fontId="9" fillId="0" borderId="0" xfId="0" applyFont="1" applyFill="1"/>
    <xf numFmtId="0" fontId="17" fillId="5" borderId="0" xfId="0" applyFont="1" applyFill="1"/>
    <xf numFmtId="0" fontId="8" fillId="5" borderId="0" xfId="0" applyFont="1" applyFill="1"/>
    <xf numFmtId="0" fontId="17" fillId="5" borderId="0" xfId="0" applyFont="1" applyFill="1" applyAlignment="1">
      <alignment horizontal="right"/>
    </xf>
    <xf numFmtId="0" fontId="8" fillId="5" borderId="0" xfId="0" applyFont="1" applyFill="1" applyAlignment="1">
      <alignment horizontal="right"/>
    </xf>
    <xf numFmtId="0" fontId="0" fillId="5" borderId="0" xfId="0" applyFont="1" applyFill="1"/>
    <xf numFmtId="0" fontId="0" fillId="5" borderId="0" xfId="0" applyFont="1" applyFill="1" applyAlignment="1">
      <alignment horizontal="right"/>
    </xf>
    <xf numFmtId="0" fontId="0" fillId="5" borderId="0" xfId="0" applyFill="1"/>
    <xf numFmtId="0" fontId="16" fillId="5" borderId="0" xfId="0" applyFont="1" applyFill="1"/>
    <xf numFmtId="4" fontId="0" fillId="3" borderId="0" xfId="0" applyNumberFormat="1" applyFill="1" applyBorder="1" applyProtection="1"/>
    <xf numFmtId="4" fontId="0" fillId="3" borderId="0" xfId="0" applyNumberFormat="1" applyFill="1" applyProtection="1"/>
    <xf numFmtId="0" fontId="16" fillId="5" borderId="0" xfId="0" applyFont="1" applyFill="1" applyAlignment="1">
      <alignment horizontal="right"/>
    </xf>
    <xf numFmtId="1" fontId="31" fillId="4" borderId="1" xfId="0" applyNumberFormat="1" applyFont="1" applyFill="1" applyBorder="1" applyProtection="1">
      <protection locked="0"/>
    </xf>
    <xf numFmtId="0" fontId="5" fillId="3" borderId="0" xfId="0" applyFont="1" applyFill="1" applyAlignment="1" applyProtection="1">
      <alignment vertical="center" wrapText="1"/>
    </xf>
    <xf numFmtId="0" fontId="0" fillId="3" borderId="0" xfId="0" applyFill="1" applyAlignment="1" applyProtection="1">
      <alignment vertical="top" wrapText="1"/>
    </xf>
    <xf numFmtId="0" fontId="16" fillId="3" borderId="0" xfId="0" applyFont="1" applyFill="1" applyAlignment="1" applyProtection="1">
      <alignment vertical="top" wrapText="1"/>
    </xf>
    <xf numFmtId="0" fontId="0" fillId="3" borderId="0" xfId="0" applyFill="1" applyAlignment="1" applyProtection="1">
      <alignment wrapText="1"/>
    </xf>
    <xf numFmtId="0" fontId="7" fillId="3" borderId="0" xfId="1" applyFont="1" applyFill="1" applyAlignment="1" applyProtection="1">
      <alignment horizontal="left" vertical="center" wrapText="1"/>
    </xf>
    <xf numFmtId="0" fontId="0" fillId="3" borderId="0" xfId="0" applyFill="1" applyAlignment="1" applyProtection="1">
      <alignment vertical="center"/>
    </xf>
    <xf numFmtId="0" fontId="22" fillId="3" borderId="0" xfId="0" applyFont="1" applyFill="1" applyAlignment="1" applyProtection="1">
      <alignment vertical="center" wrapText="1"/>
    </xf>
    <xf numFmtId="0" fontId="8" fillId="3" borderId="0" xfId="0" applyFont="1" applyFill="1" applyAlignment="1" applyProtection="1">
      <alignment wrapText="1"/>
    </xf>
    <xf numFmtId="0" fontId="2" fillId="3" borderId="0" xfId="0" applyFont="1" applyFill="1" applyProtection="1"/>
    <xf numFmtId="0" fontId="34" fillId="3" borderId="0" xfId="0" applyFont="1" applyFill="1" applyProtection="1"/>
    <xf numFmtId="0" fontId="34" fillId="3" borderId="0" xfId="0" applyFont="1" applyFill="1" applyAlignment="1" applyProtection="1">
      <alignment horizontal="left" vertical="center"/>
    </xf>
    <xf numFmtId="0" fontId="2" fillId="3" borderId="0" xfId="0" applyFont="1" applyFill="1" applyBorder="1" applyProtection="1"/>
    <xf numFmtId="0" fontId="37" fillId="3" borderId="0" xfId="0" applyFont="1" applyFill="1" applyAlignment="1" applyProtection="1">
      <alignment vertical="center"/>
    </xf>
    <xf numFmtId="0" fontId="38" fillId="3" borderId="0" xfId="0" applyFont="1" applyFill="1" applyAlignment="1" applyProtection="1">
      <alignment vertical="center"/>
    </xf>
    <xf numFmtId="0" fontId="39" fillId="3" borderId="0" xfId="0" applyFont="1" applyFill="1" applyAlignment="1" applyProtection="1">
      <alignment vertical="center"/>
    </xf>
    <xf numFmtId="0" fontId="41" fillId="3" borderId="0" xfId="0" applyFont="1" applyFill="1" applyAlignment="1" applyProtection="1">
      <alignment vertical="center"/>
    </xf>
    <xf numFmtId="0" fontId="2" fillId="3" borderId="0" xfId="0" applyFont="1" applyFill="1" applyAlignment="1" applyProtection="1">
      <alignment vertical="center" wrapText="1"/>
    </xf>
    <xf numFmtId="0" fontId="2" fillId="3" borderId="0" xfId="0" applyFont="1" applyFill="1" applyAlignment="1" applyProtection="1">
      <alignment vertical="top" wrapText="1"/>
    </xf>
    <xf numFmtId="0" fontId="2" fillId="3" borderId="0" xfId="0" applyFont="1" applyFill="1" applyAlignment="1" applyProtection="1">
      <alignment horizontal="left" vertical="top" wrapText="1"/>
    </xf>
    <xf numFmtId="0" fontId="2" fillId="3" borderId="1" xfId="0" applyFont="1" applyFill="1" applyBorder="1" applyAlignment="1" applyProtection="1">
      <alignment horizontal="center"/>
    </xf>
    <xf numFmtId="43" fontId="2" fillId="3" borderId="1" xfId="0" applyNumberFormat="1" applyFont="1" applyFill="1" applyBorder="1" applyAlignment="1" applyProtection="1"/>
    <xf numFmtId="0" fontId="35" fillId="4" borderId="1" xfId="0" applyFont="1" applyFill="1" applyBorder="1" applyAlignment="1" applyProtection="1">
      <alignment horizontal="right"/>
      <protection locked="0"/>
    </xf>
    <xf numFmtId="0" fontId="2" fillId="3" borderId="1" xfId="0" applyFont="1" applyFill="1" applyBorder="1" applyProtection="1"/>
    <xf numFmtId="4" fontId="2" fillId="3" borderId="1" xfId="0" applyNumberFormat="1" applyFont="1" applyFill="1" applyBorder="1" applyProtection="1"/>
    <xf numFmtId="0" fontId="2" fillId="3" borderId="0" xfId="0" applyFont="1" applyFill="1" applyBorder="1" applyAlignment="1" applyProtection="1">
      <alignment horizontal="center"/>
    </xf>
    <xf numFmtId="43" fontId="2" fillId="3" borderId="0" xfId="0" applyNumberFormat="1" applyFont="1" applyFill="1" applyBorder="1" applyAlignment="1" applyProtection="1"/>
    <xf numFmtId="4" fontId="2" fillId="3" borderId="0" xfId="0" applyNumberFormat="1" applyFont="1" applyFill="1" applyBorder="1" applyProtection="1"/>
    <xf numFmtId="0" fontId="2" fillId="3" borderId="0" xfId="0" applyFont="1" applyFill="1" applyAlignment="1" applyProtection="1">
      <alignment horizontal="center"/>
    </xf>
    <xf numFmtId="3" fontId="2" fillId="3" borderId="0" xfId="0" applyNumberFormat="1" applyFont="1" applyFill="1" applyBorder="1" applyProtection="1"/>
    <xf numFmtId="0" fontId="2" fillId="3" borderId="0" xfId="0" applyFont="1" applyFill="1" applyAlignment="1" applyProtection="1">
      <alignment wrapText="1"/>
    </xf>
    <xf numFmtId="0" fontId="44" fillId="3" borderId="0" xfId="0" applyFont="1" applyFill="1" applyBorder="1" applyProtection="1"/>
    <xf numFmtId="0" fontId="2" fillId="3" borderId="0" xfId="0" applyFont="1" applyFill="1" applyAlignment="1" applyProtection="1">
      <alignment horizontal="left" wrapText="1"/>
    </xf>
    <xf numFmtId="0" fontId="2" fillId="3" borderId="0" xfId="0" applyFont="1" applyFill="1" applyBorder="1" applyAlignment="1" applyProtection="1">
      <alignment wrapText="1"/>
    </xf>
    <xf numFmtId="0" fontId="35" fillId="4" borderId="1" xfId="0" applyNumberFormat="1" applyFont="1" applyFill="1" applyBorder="1" applyProtection="1">
      <protection locked="0"/>
    </xf>
    <xf numFmtId="0" fontId="2" fillId="3" borderId="0" xfId="0" applyNumberFormat="1" applyFont="1" applyFill="1" applyBorder="1" applyProtection="1"/>
    <xf numFmtId="0" fontId="34" fillId="3" borderId="0" xfId="0" applyFont="1" applyFill="1" applyAlignment="1" applyProtection="1">
      <alignment horizontal="right"/>
    </xf>
    <xf numFmtId="0" fontId="2" fillId="3" borderId="0" xfId="0" applyFont="1" applyFill="1" applyAlignment="1" applyProtection="1">
      <alignment horizontal="left"/>
    </xf>
    <xf numFmtId="0" fontId="2" fillId="3" borderId="0" xfId="0" applyFont="1" applyFill="1" applyAlignment="1" applyProtection="1">
      <alignment horizontal="right"/>
    </xf>
    <xf numFmtId="0" fontId="34" fillId="3" borderId="0" xfId="0" applyFont="1" applyFill="1" applyAlignment="1" applyProtection="1">
      <alignment horizontal="left"/>
    </xf>
    <xf numFmtId="0" fontId="47" fillId="3" borderId="0" xfId="0" applyFont="1" applyFill="1" applyProtection="1"/>
    <xf numFmtId="0" fontId="38" fillId="3" borderId="0" xfId="0" applyFont="1" applyFill="1" applyProtection="1"/>
    <xf numFmtId="0" fontId="47" fillId="3" borderId="0" xfId="0" applyFont="1" applyFill="1" applyAlignment="1" applyProtection="1">
      <alignment vertical="top" wrapText="1"/>
    </xf>
    <xf numFmtId="0" fontId="49" fillId="3" borderId="0" xfId="0" applyFont="1" applyFill="1" applyProtection="1"/>
    <xf numFmtId="0" fontId="50" fillId="3" borderId="0" xfId="0" applyFont="1" applyFill="1" applyAlignment="1" applyProtection="1">
      <alignment wrapText="1"/>
    </xf>
    <xf numFmtId="4" fontId="51" fillId="3" borderId="1" xfId="0" applyNumberFormat="1" applyFont="1" applyFill="1" applyBorder="1" applyProtection="1"/>
    <xf numFmtId="0" fontId="51" fillId="3" borderId="0" xfId="0" applyFont="1" applyFill="1" applyProtection="1"/>
    <xf numFmtId="0" fontId="36" fillId="3" borderId="0" xfId="0" applyFont="1" applyFill="1" applyProtection="1"/>
    <xf numFmtId="0" fontId="36" fillId="3" borderId="0" xfId="0" applyFont="1" applyFill="1" applyAlignment="1" applyProtection="1">
      <alignment vertical="top" wrapText="1"/>
    </xf>
    <xf numFmtId="0" fontId="46" fillId="3" borderId="0" xfId="0" applyFont="1" applyFill="1" applyProtection="1"/>
    <xf numFmtId="0" fontId="44" fillId="3" borderId="0" xfId="0" applyFont="1" applyFill="1" applyProtection="1"/>
    <xf numFmtId="0" fontId="2" fillId="3" borderId="0" xfId="0" applyFont="1" applyFill="1" applyAlignment="1" applyProtection="1">
      <alignment vertical="top"/>
    </xf>
    <xf numFmtId="0" fontId="47" fillId="3" borderId="0" xfId="0" applyFont="1" applyFill="1" applyBorder="1" applyAlignment="1" applyProtection="1">
      <alignment vertical="top"/>
    </xf>
    <xf numFmtId="0" fontId="53" fillId="3" borderId="0" xfId="0" applyFont="1" applyFill="1" applyProtection="1"/>
    <xf numFmtId="0" fontId="35" fillId="3" borderId="0" xfId="0" applyFont="1" applyFill="1" applyBorder="1" applyAlignment="1" applyProtection="1">
      <alignment horizontal="right"/>
    </xf>
    <xf numFmtId="0" fontId="35" fillId="3" borderId="0" xfId="0" applyNumberFormat="1" applyFont="1" applyFill="1" applyBorder="1" applyProtection="1"/>
    <xf numFmtId="0" fontId="0" fillId="3" borderId="0" xfId="0" applyFill="1" applyBorder="1" applyAlignment="1" applyProtection="1"/>
    <xf numFmtId="0" fontId="0" fillId="3" borderId="0" xfId="0" applyFill="1" applyBorder="1"/>
    <xf numFmtId="0" fontId="0" fillId="3" borderId="0" xfId="0" applyFill="1"/>
    <xf numFmtId="0" fontId="55" fillId="3" borderId="0" xfId="0" applyFont="1" applyFill="1"/>
    <xf numFmtId="4" fontId="0" fillId="3" borderId="0" xfId="0" applyNumberFormat="1" applyFill="1" applyBorder="1"/>
    <xf numFmtId="0" fontId="0" fillId="3" borderId="5" xfId="0" applyFill="1" applyBorder="1"/>
    <xf numFmtId="0" fontId="0" fillId="3" borderId="6" xfId="0" applyFill="1" applyBorder="1"/>
    <xf numFmtId="4" fontId="0" fillId="3" borderId="6" xfId="0" applyNumberFormat="1" applyFill="1" applyBorder="1"/>
    <xf numFmtId="0" fontId="0" fillId="3" borderId="7" xfId="0" applyFill="1" applyBorder="1"/>
    <xf numFmtId="4" fontId="0" fillId="3" borderId="7" xfId="0" applyNumberFormat="1" applyFill="1" applyBorder="1"/>
    <xf numFmtId="0" fontId="0" fillId="3" borderId="7" xfId="0" applyFill="1" applyBorder="1" applyAlignment="1">
      <alignment vertical="center"/>
    </xf>
    <xf numFmtId="0" fontId="0" fillId="3" borderId="6"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7" xfId="0" applyFill="1" applyBorder="1" applyAlignment="1">
      <alignment horizontal="right" vertical="center"/>
    </xf>
    <xf numFmtId="4" fontId="0" fillId="3" borderId="7" xfId="0" applyNumberFormat="1" applyFill="1" applyBorder="1" applyAlignment="1">
      <alignment vertical="center"/>
    </xf>
    <xf numFmtId="4" fontId="0" fillId="3" borderId="6" xfId="0" applyNumberFormat="1" applyFill="1" applyBorder="1" applyAlignment="1">
      <alignment vertical="center"/>
    </xf>
    <xf numFmtId="4" fontId="0" fillId="3" borderId="5" xfId="0" applyNumberFormat="1" applyFill="1" applyBorder="1" applyAlignment="1">
      <alignment vertical="center"/>
    </xf>
    <xf numFmtId="1" fontId="0" fillId="3" borderId="6" xfId="0" applyNumberFormat="1" applyFill="1" applyBorder="1" applyAlignment="1">
      <alignment horizontal="right"/>
    </xf>
    <xf numFmtId="4" fontId="0" fillId="3" borderId="0" xfId="0" applyNumberFormat="1" applyFill="1" applyBorder="1" applyAlignment="1">
      <alignment vertical="center"/>
    </xf>
    <xf numFmtId="0" fontId="56" fillId="3" borderId="0" xfId="0" applyFont="1" applyFill="1"/>
    <xf numFmtId="4" fontId="56" fillId="3" borderId="0" xfId="0" applyNumberFormat="1" applyFont="1" applyFill="1"/>
    <xf numFmtId="0" fontId="57" fillId="3" borderId="0" xfId="0" applyFont="1" applyFill="1" applyBorder="1"/>
    <xf numFmtId="0" fontId="57" fillId="3" borderId="0" xfId="0" applyFont="1" applyFill="1" applyBorder="1" applyAlignment="1">
      <alignment vertical="center"/>
    </xf>
    <xf numFmtId="0" fontId="57" fillId="3" borderId="0" xfId="0" applyFont="1" applyFill="1" applyBorder="1" applyAlignment="1">
      <alignment horizontal="right"/>
    </xf>
    <xf numFmtId="1" fontId="0" fillId="3" borderId="7" xfId="0" applyNumberFormat="1" applyFill="1" applyBorder="1" applyAlignment="1">
      <alignment horizontal="right"/>
    </xf>
    <xf numFmtId="1" fontId="0" fillId="3" borderId="5" xfId="0" applyNumberFormat="1" applyFill="1" applyBorder="1" applyAlignment="1">
      <alignment horizontal="right"/>
    </xf>
    <xf numFmtId="0" fontId="57" fillId="3" borderId="5" xfId="0" applyFont="1" applyFill="1" applyBorder="1"/>
    <xf numFmtId="0" fontId="33" fillId="0" borderId="0" xfId="0" applyFont="1" applyFill="1"/>
    <xf numFmtId="0" fontId="47" fillId="3" borderId="0" xfId="0" applyNumberFormat="1" applyFont="1" applyFill="1" applyBorder="1" applyAlignment="1" applyProtection="1">
      <alignment horizontal="center" vertical="center" wrapText="1"/>
    </xf>
    <xf numFmtId="0" fontId="2" fillId="3" borderId="0" xfId="0" applyFont="1" applyFill="1" applyBorder="1" applyAlignment="1" applyProtection="1"/>
    <xf numFmtId="2" fontId="2" fillId="3" borderId="1" xfId="0" applyNumberFormat="1" applyFont="1" applyFill="1" applyBorder="1" applyProtection="1"/>
    <xf numFmtId="0" fontId="47" fillId="3" borderId="0" xfId="0" applyFont="1" applyFill="1" applyAlignment="1" applyProtection="1">
      <alignment vertical="top" wrapText="1"/>
    </xf>
    <xf numFmtId="0" fontId="2" fillId="3" borderId="0" xfId="0" applyFont="1" applyFill="1" applyAlignment="1" applyProtection="1">
      <alignment vertical="top" wrapText="1"/>
    </xf>
    <xf numFmtId="0" fontId="16" fillId="3" borderId="0" xfId="0" applyFont="1" applyFill="1" applyAlignment="1" applyProtection="1">
      <alignment vertical="top" wrapText="1"/>
    </xf>
    <xf numFmtId="0" fontId="0" fillId="3" borderId="0" xfId="0" applyFill="1" applyAlignment="1" applyProtection="1">
      <alignment vertical="top" wrapText="1"/>
    </xf>
    <xf numFmtId="0" fontId="7" fillId="3" borderId="0" xfId="1" applyFont="1" applyFill="1" applyAlignment="1" applyProtection="1">
      <alignment horizontal="left" vertical="center" wrapText="1"/>
    </xf>
    <xf numFmtId="0" fontId="0" fillId="3" borderId="0" xfId="0" applyFill="1" applyAlignment="1" applyProtection="1">
      <alignment vertical="center"/>
    </xf>
    <xf numFmtId="0" fontId="36" fillId="3" borderId="0" xfId="0" applyFont="1" applyFill="1" applyAlignment="1" applyProtection="1">
      <alignment vertical="top" wrapText="1"/>
    </xf>
    <xf numFmtId="0" fontId="40" fillId="3" borderId="0" xfId="0" applyFont="1" applyFill="1" applyAlignment="1" applyProtection="1">
      <alignment vertical="center" wrapText="1"/>
    </xf>
    <xf numFmtId="0" fontId="8" fillId="3" borderId="0" xfId="0" applyFont="1" applyFill="1" applyAlignment="1" applyProtection="1">
      <alignment wrapText="1"/>
    </xf>
    <xf numFmtId="0" fontId="0" fillId="0" borderId="0" xfId="0" applyFont="1" applyAlignment="1" applyProtection="1">
      <alignment wrapText="1"/>
    </xf>
    <xf numFmtId="0" fontId="2" fillId="0" borderId="0" xfId="0" applyFont="1" applyAlignment="1" applyProtection="1">
      <alignment wrapText="1"/>
    </xf>
    <xf numFmtId="0" fontId="0" fillId="3" borderId="0" xfId="0" applyFill="1" applyAlignment="1" applyProtection="1">
      <alignment wrapText="1"/>
    </xf>
    <xf numFmtId="0" fontId="0" fillId="0" borderId="0" xfId="0" applyAlignment="1">
      <alignment wrapText="1"/>
    </xf>
    <xf numFmtId="0" fontId="2" fillId="3" borderId="0" xfId="0" applyFont="1" applyFill="1" applyAlignment="1" applyProtection="1">
      <alignment vertical="center" wrapText="1"/>
    </xf>
    <xf numFmtId="0" fontId="2" fillId="3" borderId="0" xfId="0" applyFont="1" applyFill="1" applyAlignment="1" applyProtection="1">
      <alignment wrapText="1"/>
    </xf>
    <xf numFmtId="0" fontId="16" fillId="3" borderId="0" xfId="0" applyFont="1" applyFill="1" applyAlignment="1" applyProtection="1">
      <alignment vertical="center" wrapText="1"/>
    </xf>
    <xf numFmtId="0" fontId="16" fillId="3" borderId="0" xfId="0" applyFont="1" applyFill="1" applyAlignment="1" applyProtection="1">
      <alignment wrapText="1"/>
    </xf>
    <xf numFmtId="0" fontId="5" fillId="3" borderId="0" xfId="0" applyFont="1" applyFill="1" applyAlignment="1" applyProtection="1">
      <alignment vertical="center" wrapText="1"/>
    </xf>
    <xf numFmtId="0" fontId="0" fillId="3" borderId="0" xfId="0" applyFont="1" applyFill="1" applyAlignment="1" applyProtection="1">
      <alignment wrapText="1"/>
    </xf>
    <xf numFmtId="0" fontId="2" fillId="3" borderId="0" xfId="0" applyFont="1" applyFill="1" applyBorder="1" applyAlignment="1" applyProtection="1">
      <alignment wrapText="1"/>
    </xf>
    <xf numFmtId="0" fontId="47" fillId="3" borderId="2"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15" fillId="0" borderId="0" xfId="0" applyFont="1" applyAlignment="1">
      <alignment wrapText="1"/>
    </xf>
    <xf numFmtId="0" fontId="8" fillId="0" borderId="0" xfId="0" applyFont="1" applyAlignment="1"/>
  </cellXfs>
  <cellStyles count="2">
    <cellStyle name="Hyperlink" xfId="1" builtinId="8"/>
    <cellStyle name="Standaard" xfId="0" builtinId="0"/>
  </cellStyles>
  <dxfs count="2">
    <dxf>
      <fill>
        <patternFill>
          <bgColor rgb="FFF8F8F8"/>
        </patternFill>
      </fill>
      <border>
        <left/>
        <right/>
        <top/>
        <bottom/>
        <vertical/>
        <horizontal/>
      </border>
    </dxf>
    <dxf>
      <fill>
        <patternFill>
          <bgColor rgb="FFF8F8F8"/>
        </patternFill>
      </fill>
    </dxf>
  </dxfs>
  <tableStyles count="0" defaultTableStyle="TableStyleMedium2" defaultPivotStyle="PivotStyleLight16"/>
  <colors>
    <mruColors>
      <color rgb="FFF8F8F8"/>
      <color rgb="FFD4351C"/>
      <color rgb="FF007BC7"/>
      <color rgb="FFFFB612"/>
      <color rgb="FF8FCAE7"/>
      <color rgb="FFFFE9B7"/>
      <color rgb="FFEEF7FB"/>
      <color rgb="FFF3F3F3"/>
      <color rgb="FFE1F3F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Hulpblad!$B$14"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Hulpblad!$C$5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Hulpblad!$C$55"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fmlaLink="Hulpblad!$C$59"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fmlaLink="Hulpblad!$C$63" lockText="1" noThreeD="1"/>
</file>

<file path=xl/ctrlProps/ctrlProp11.xml><?xml version="1.0" encoding="utf-8"?>
<formControlPr xmlns="http://schemas.microsoft.com/office/spreadsheetml/2009/9/main" objectType="Radio" checked="Checked" firstButton="1" fmlaLink="Hulpblad!$B$25"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checked="Checked" firstButton="1" fmlaLink="Hulpblad!$C$67"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firstButton="1" fmlaLink="Hulpblad!$G$47"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Hulpblad!$G$5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Hulpblad!$G$55"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Hulpblad!$E$27" lockText="1" noThreeD="1"/>
</file>

<file path=xl/ctrlProps/ctrlProp130.xml><?xml version="1.0" encoding="utf-8"?>
<formControlPr xmlns="http://schemas.microsoft.com/office/spreadsheetml/2009/9/main" objectType="Radio" checked="Checked" firstButton="1" fmlaLink="Hulpblad!$G$59"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checked="Checked" firstButton="1" fmlaLink="Hulpblad!$G$63"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firstButton="1" fmlaLink="Hulpblad!$G$67"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CheckBox" fmlaLink="Hulpblad!$B$36" lockText="1" noThreeD="1"/>
</file>

<file path=xl/ctrlProps/ctrlProp15.xml><?xml version="1.0" encoding="utf-8"?>
<formControlPr xmlns="http://schemas.microsoft.com/office/spreadsheetml/2009/9/main" objectType="Radio" checked="Checked" firstButton="1" fmlaLink="Hulpblad!$B$32"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ulpblad!$E$33"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Hulpblad!$B$104"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Hulpblad!$B$112"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Hulpblad!$B$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Hulpblad!$E$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fmlaLink="Hulpblad!$B$37" lockText="1" noThreeD="1"/>
</file>

<file path=xl/ctrlProps/ctrlProp59.xml><?xml version="1.0" encoding="utf-8"?>
<formControlPr xmlns="http://schemas.microsoft.com/office/spreadsheetml/2009/9/main" objectType="CheckBox" fmlaLink="Hulpblad!$B$38" lockText="1" noThreeD="1"/>
</file>

<file path=xl/ctrlProps/ctrlProp6.xml><?xml version="1.0" encoding="utf-8"?>
<formControlPr xmlns="http://schemas.microsoft.com/office/spreadsheetml/2009/9/main" objectType="Radio" checked="Checked" firstButton="1" fmlaLink="Hulpblad!B19" lockText="1" noThreeD="1"/>
</file>

<file path=xl/ctrlProps/ctrlProp60.xml><?xml version="1.0" encoding="utf-8"?>
<formControlPr xmlns="http://schemas.microsoft.com/office/spreadsheetml/2009/9/main" objectType="CheckBox" fmlaLink="Hulpblad!$B$39" lockText="1" noThreeD="1"/>
</file>

<file path=xl/ctrlProps/ctrlProp61.xml><?xml version="1.0" encoding="utf-8"?>
<formControlPr xmlns="http://schemas.microsoft.com/office/spreadsheetml/2009/9/main" objectType="Radio" checked="Checked" firstButton="1" fmlaLink="Hulpblad!$B$11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firstButton="1" fmlaLink="Hulpblad!$B$132"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fmlaLink="Hulpblad!$B$145"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Hulpblad!$B$15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fmlaLink="Hulpblad!$B$138"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Hulpblad!$E$2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Hulpblad!$B$158"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Hulpblad!$E$15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Hulpblad!$H$15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Hulpblad!$K$158"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Hulpblad!$B$44"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Hulpblad!$C$47"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1693832</xdr:colOff>
      <xdr:row>0</xdr:row>
      <xdr:rowOff>0</xdr:rowOff>
    </xdr:from>
    <xdr:to>
      <xdr:col>10</xdr:col>
      <xdr:colOff>447690</xdr:colOff>
      <xdr:row>1</xdr:row>
      <xdr:rowOff>9484</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620605" y="0"/>
          <a:ext cx="8137426" cy="17326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0</xdr:rowOff>
        </xdr:from>
        <xdr:to>
          <xdr:col>2</xdr:col>
          <xdr:colOff>2914650</xdr:colOff>
          <xdr:row>28</xdr:row>
          <xdr:rowOff>180975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3</xdr:col>
          <xdr:colOff>9525</xdr:colOff>
          <xdr:row>31</xdr:row>
          <xdr:rowOff>57150</xdr:rowOff>
        </xdr:to>
        <xdr:sp macro="" textlink="">
          <xdr:nvSpPr>
            <xdr:cNvPr id="1136" name="Group Box 112" descr="Dakisolatie"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16</xdr:row>
          <xdr:rowOff>285750</xdr:rowOff>
        </xdr:from>
        <xdr:to>
          <xdr:col>3</xdr:col>
          <xdr:colOff>66675</xdr:colOff>
          <xdr:row>21</xdr:row>
          <xdr:rowOff>9525</xdr:rowOff>
        </xdr:to>
        <xdr:sp macro="" textlink="">
          <xdr:nvSpPr>
            <xdr:cNvPr id="1141" name="Group Box 117" descr="Dakisolatie"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Opgave eerder ontvangen ISDE-subsidie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2352675</xdr:colOff>
          <xdr:row>18</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 ik heb niet eerder ISDE-subsidie ontvangen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171450</xdr:rowOff>
        </xdr:from>
        <xdr:to>
          <xdr:col>4</xdr:col>
          <xdr:colOff>2962275</xdr:colOff>
          <xdr:row>29</xdr:row>
          <xdr:rowOff>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9525</xdr:rowOff>
        </xdr:from>
        <xdr:to>
          <xdr:col>2</xdr:col>
          <xdr:colOff>3038475</xdr:colOff>
          <xdr:row>36</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0</xdr:rowOff>
        </xdr:from>
        <xdr:to>
          <xdr:col>3</xdr:col>
          <xdr:colOff>0</xdr:colOff>
          <xdr:row>37</xdr:row>
          <xdr:rowOff>85725</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4</xdr:col>
          <xdr:colOff>3067050</xdr:colOff>
          <xdr:row>36</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5</xdr:col>
          <xdr:colOff>9525</xdr:colOff>
          <xdr:row>32</xdr:row>
          <xdr:rowOff>76200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9525</xdr:colOff>
          <xdr:row>39</xdr:row>
          <xdr:rowOff>76200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180975</xdr:rowOff>
        </xdr:from>
        <xdr:to>
          <xdr:col>2</xdr:col>
          <xdr:colOff>2571750</xdr:colOff>
          <xdr:row>43</xdr:row>
          <xdr:rowOff>19050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41</xdr:row>
          <xdr:rowOff>0</xdr:rowOff>
        </xdr:from>
        <xdr:to>
          <xdr:col>3</xdr:col>
          <xdr:colOff>9525</xdr:colOff>
          <xdr:row>44</xdr:row>
          <xdr:rowOff>104775</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180975</xdr:rowOff>
        </xdr:from>
        <xdr:to>
          <xdr:col>4</xdr:col>
          <xdr:colOff>3219450</xdr:colOff>
          <xdr:row>43</xdr:row>
          <xdr:rowOff>9525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0</xdr:rowOff>
        </xdr:from>
        <xdr:to>
          <xdr:col>5</xdr:col>
          <xdr:colOff>9525</xdr:colOff>
          <xdr:row>46</xdr:row>
          <xdr:rowOff>95250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180975</xdr:rowOff>
        </xdr:from>
        <xdr:to>
          <xdr:col>2</xdr:col>
          <xdr:colOff>3257550</xdr:colOff>
          <xdr:row>50</xdr:row>
          <xdr:rowOff>9525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47</xdr:row>
          <xdr:rowOff>190500</xdr:rowOff>
        </xdr:from>
        <xdr:to>
          <xdr:col>3</xdr:col>
          <xdr:colOff>0</xdr:colOff>
          <xdr:row>52</xdr:row>
          <xdr:rowOff>85725</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171450</xdr:rowOff>
        </xdr:from>
        <xdr:to>
          <xdr:col>4</xdr:col>
          <xdr:colOff>3171825</xdr:colOff>
          <xdr:row>50</xdr:row>
          <xdr:rowOff>9525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9525</xdr:colOff>
          <xdr:row>53</xdr:row>
          <xdr:rowOff>95250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171450</xdr:rowOff>
        </xdr:from>
        <xdr:to>
          <xdr:col>2</xdr:col>
          <xdr:colOff>3124200</xdr:colOff>
          <xdr:row>121</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118</xdr:row>
          <xdr:rowOff>190500</xdr:rowOff>
        </xdr:from>
        <xdr:to>
          <xdr:col>3</xdr:col>
          <xdr:colOff>0</xdr:colOff>
          <xdr:row>132</xdr:row>
          <xdr:rowOff>66675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120</xdr:row>
          <xdr:rowOff>171450</xdr:rowOff>
        </xdr:from>
        <xdr:to>
          <xdr:col>2</xdr:col>
          <xdr:colOff>3124200</xdr:colOff>
          <xdr:row>122</xdr:row>
          <xdr:rowOff>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121</xdr:row>
          <xdr:rowOff>171450</xdr:rowOff>
        </xdr:from>
        <xdr:to>
          <xdr:col>2</xdr:col>
          <xdr:colOff>3124200</xdr:colOff>
          <xdr:row>123</xdr:row>
          <xdr:rowOff>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1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171450</xdr:rowOff>
        </xdr:from>
        <xdr:to>
          <xdr:col>2</xdr:col>
          <xdr:colOff>3124200</xdr:colOff>
          <xdr:row>124</xdr:row>
          <xdr:rowOff>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123</xdr:row>
          <xdr:rowOff>171450</xdr:rowOff>
        </xdr:from>
        <xdr:to>
          <xdr:col>2</xdr:col>
          <xdr:colOff>3124200</xdr:colOff>
          <xdr:row>125</xdr:row>
          <xdr:rowOff>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124</xdr:row>
          <xdr:rowOff>171450</xdr:rowOff>
        </xdr:from>
        <xdr:to>
          <xdr:col>2</xdr:col>
          <xdr:colOff>3124200</xdr:colOff>
          <xdr:row>126</xdr:row>
          <xdr:rowOff>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171450</xdr:rowOff>
        </xdr:from>
        <xdr:to>
          <xdr:col>2</xdr:col>
          <xdr:colOff>3124200</xdr:colOff>
          <xdr:row>127</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126</xdr:row>
          <xdr:rowOff>171450</xdr:rowOff>
        </xdr:from>
        <xdr:to>
          <xdr:col>2</xdr:col>
          <xdr:colOff>3124200</xdr:colOff>
          <xdr:row>128</xdr:row>
          <xdr:rowOff>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127</xdr:row>
          <xdr:rowOff>171450</xdr:rowOff>
        </xdr:from>
        <xdr:to>
          <xdr:col>2</xdr:col>
          <xdr:colOff>3124200</xdr:colOff>
          <xdr:row>129</xdr:row>
          <xdr:rowOff>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171450</xdr:rowOff>
        </xdr:from>
        <xdr:to>
          <xdr:col>2</xdr:col>
          <xdr:colOff>3124200</xdr:colOff>
          <xdr:row>130</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129</xdr:row>
          <xdr:rowOff>171450</xdr:rowOff>
        </xdr:from>
        <xdr:to>
          <xdr:col>2</xdr:col>
          <xdr:colOff>3124200</xdr:colOff>
          <xdr:row>131</xdr:row>
          <xdr:rowOff>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130</xdr:row>
          <xdr:rowOff>171450</xdr:rowOff>
        </xdr:from>
        <xdr:to>
          <xdr:col>2</xdr:col>
          <xdr:colOff>3124200</xdr:colOff>
          <xdr:row>132</xdr:row>
          <xdr:rowOff>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134</xdr:row>
          <xdr:rowOff>180975</xdr:rowOff>
        </xdr:from>
        <xdr:to>
          <xdr:col>2</xdr:col>
          <xdr:colOff>3162300</xdr:colOff>
          <xdr:row>136</xdr:row>
          <xdr:rowOff>9525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135</xdr:row>
          <xdr:rowOff>180975</xdr:rowOff>
        </xdr:from>
        <xdr:to>
          <xdr:col>2</xdr:col>
          <xdr:colOff>3162300</xdr:colOff>
          <xdr:row>137</xdr:row>
          <xdr:rowOff>9525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of hoger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136</xdr:row>
          <xdr:rowOff>180975</xdr:rowOff>
        </xdr:from>
        <xdr:to>
          <xdr:col>2</xdr:col>
          <xdr:colOff>3162300</xdr:colOff>
          <xdr:row>138</xdr:row>
          <xdr:rowOff>9525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137</xdr:row>
          <xdr:rowOff>180975</xdr:rowOff>
        </xdr:from>
        <xdr:to>
          <xdr:col>2</xdr:col>
          <xdr:colOff>3162300</xdr:colOff>
          <xdr:row>139</xdr:row>
          <xdr:rowOff>9525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138</xdr:row>
          <xdr:rowOff>180975</xdr:rowOff>
        </xdr:from>
        <xdr:to>
          <xdr:col>2</xdr:col>
          <xdr:colOff>3162300</xdr:colOff>
          <xdr:row>140</xdr:row>
          <xdr:rowOff>9525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t/m 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134</xdr:row>
          <xdr:rowOff>57150</xdr:rowOff>
        </xdr:from>
        <xdr:to>
          <xdr:col>3</xdr:col>
          <xdr:colOff>0</xdr:colOff>
          <xdr:row>140</xdr:row>
          <xdr:rowOff>66675</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Energie-efficiency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2352675</xdr:colOff>
          <xdr:row>19</xdr:row>
          <xdr:rowOff>190500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&gt;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2352675</xdr:colOff>
          <xdr:row>20</xdr:row>
          <xdr:rowOff>190500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2</xdr:col>
          <xdr:colOff>2914650</xdr:colOff>
          <xdr:row>29</xdr:row>
          <xdr:rowOff>180975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2</xdr:col>
          <xdr:colOff>2914650</xdr:colOff>
          <xdr:row>30</xdr:row>
          <xdr:rowOff>180975</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171450</xdr:rowOff>
        </xdr:from>
        <xdr:to>
          <xdr:col>4</xdr:col>
          <xdr:colOff>2962275</xdr:colOff>
          <xdr:row>30</xdr:row>
          <xdr:rowOff>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171450</xdr:rowOff>
        </xdr:from>
        <xdr:to>
          <xdr:col>4</xdr:col>
          <xdr:colOff>2962275</xdr:colOff>
          <xdr:row>31</xdr:row>
          <xdr:rowOff>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 april 2022 - 31 december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171450</xdr:rowOff>
        </xdr:from>
        <xdr:to>
          <xdr:col>4</xdr:col>
          <xdr:colOff>2962275</xdr:colOff>
          <xdr:row>32</xdr:row>
          <xdr:rowOff>0</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2</xdr:col>
          <xdr:colOff>3038475</xdr:colOff>
          <xdr:row>37</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Binnen-of buitengevelisolatie,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4</xdr:col>
          <xdr:colOff>3067050</xdr:colOff>
          <xdr:row>37</xdr:row>
          <xdr:rowOff>9525</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171450</xdr:rowOff>
        </xdr:from>
        <xdr:to>
          <xdr:col>4</xdr:col>
          <xdr:colOff>3067050</xdr:colOff>
          <xdr:row>38</xdr:row>
          <xdr:rowOff>9525</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2022 - 31 december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171450</xdr:rowOff>
        </xdr:from>
        <xdr:to>
          <xdr:col>4</xdr:col>
          <xdr:colOff>3067050</xdr:colOff>
          <xdr:row>39</xdr:row>
          <xdr:rowOff>9525</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180975</xdr:rowOff>
        </xdr:from>
        <xdr:to>
          <xdr:col>2</xdr:col>
          <xdr:colOff>2571750</xdr:colOff>
          <xdr:row>44</xdr:row>
          <xdr:rowOff>19050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Rd ≥ 1,1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180975</xdr:rowOff>
        </xdr:from>
        <xdr:to>
          <xdr:col>4</xdr:col>
          <xdr:colOff>3219450</xdr:colOff>
          <xdr:row>44</xdr:row>
          <xdr:rowOff>9525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4</xdr:col>
          <xdr:colOff>3219450</xdr:colOff>
          <xdr:row>45</xdr:row>
          <xdr:rowOff>9525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2022 - 31 december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180975</xdr:rowOff>
        </xdr:from>
        <xdr:to>
          <xdr:col>4</xdr:col>
          <xdr:colOff>3219450</xdr:colOff>
          <xdr:row>46</xdr:row>
          <xdr:rowOff>9525</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180975</xdr:rowOff>
        </xdr:from>
        <xdr:to>
          <xdr:col>2</xdr:col>
          <xdr:colOff>3257550</xdr:colOff>
          <xdr:row>51</xdr:row>
          <xdr:rowOff>9525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180975</xdr:rowOff>
        </xdr:from>
        <xdr:to>
          <xdr:col>2</xdr:col>
          <xdr:colOff>3257550</xdr:colOff>
          <xdr:row>52</xdr:row>
          <xdr:rowOff>9525</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171450</xdr:rowOff>
        </xdr:from>
        <xdr:to>
          <xdr:col>4</xdr:col>
          <xdr:colOff>3171825</xdr:colOff>
          <xdr:row>51</xdr:row>
          <xdr:rowOff>9525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171450</xdr:rowOff>
        </xdr:from>
        <xdr:to>
          <xdr:col>4</xdr:col>
          <xdr:colOff>3171825</xdr:colOff>
          <xdr:row>52</xdr:row>
          <xdr:rowOff>9525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2022 - 31 december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171450</xdr:rowOff>
        </xdr:from>
        <xdr:to>
          <xdr:col>4</xdr:col>
          <xdr:colOff>3171825</xdr:colOff>
          <xdr:row>53</xdr:row>
          <xdr:rowOff>9525</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171450</xdr:rowOff>
        </xdr:from>
        <xdr:to>
          <xdr:col>2</xdr:col>
          <xdr:colOff>1962150</xdr:colOff>
          <xdr:row>60</xdr:row>
          <xdr:rowOff>28575</xdr:rowOff>
        </xdr:to>
        <xdr:sp macro="" textlink="">
          <xdr:nvSpPr>
            <xdr:cNvPr id="1312" name="Check Box 288" descr="Biobased"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Gevelisolatie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171450</xdr:rowOff>
        </xdr:from>
        <xdr:to>
          <xdr:col>2</xdr:col>
          <xdr:colOff>1962150</xdr:colOff>
          <xdr:row>62</xdr:row>
          <xdr:rowOff>28575</xdr:rowOff>
        </xdr:to>
        <xdr:sp macro="" textlink="">
          <xdr:nvSpPr>
            <xdr:cNvPr id="1314" name="Check Box 290" descr="Biobased"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171450</xdr:rowOff>
        </xdr:from>
        <xdr:to>
          <xdr:col>2</xdr:col>
          <xdr:colOff>1962150</xdr:colOff>
          <xdr:row>64</xdr:row>
          <xdr:rowOff>28575</xdr:rowOff>
        </xdr:to>
        <xdr:sp macro="" textlink="">
          <xdr:nvSpPr>
            <xdr:cNvPr id="1316" name="Check Box 292" descr="Biobased"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Vloerisolatie/bodemisolatie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180975</xdr:rowOff>
        </xdr:from>
        <xdr:to>
          <xdr:col>4</xdr:col>
          <xdr:colOff>3000375</xdr:colOff>
          <xdr:row>121</xdr:row>
          <xdr:rowOff>19050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120</xdr:row>
          <xdr:rowOff>180975</xdr:rowOff>
        </xdr:from>
        <xdr:to>
          <xdr:col>4</xdr:col>
          <xdr:colOff>3000375</xdr:colOff>
          <xdr:row>122</xdr:row>
          <xdr:rowOff>19050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en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5</xdr:col>
          <xdr:colOff>0</xdr:colOff>
          <xdr:row>123</xdr:row>
          <xdr:rowOff>95250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180975</xdr:rowOff>
        </xdr:from>
        <xdr:to>
          <xdr:col>4</xdr:col>
          <xdr:colOff>3000375</xdr:colOff>
          <xdr:row>123</xdr:row>
          <xdr:rowOff>19050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146</xdr:row>
          <xdr:rowOff>180975</xdr:rowOff>
        </xdr:from>
        <xdr:to>
          <xdr:col>2</xdr:col>
          <xdr:colOff>2962275</xdr:colOff>
          <xdr:row>148</xdr:row>
          <xdr:rowOff>9525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147</xdr:row>
          <xdr:rowOff>180975</xdr:rowOff>
        </xdr:from>
        <xdr:to>
          <xdr:col>2</xdr:col>
          <xdr:colOff>3095625</xdr:colOff>
          <xdr:row>149</xdr:row>
          <xdr:rowOff>9525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148</xdr:row>
          <xdr:rowOff>180975</xdr:rowOff>
        </xdr:from>
        <xdr:to>
          <xdr:col>2</xdr:col>
          <xdr:colOff>3076575</xdr:colOff>
          <xdr:row>150</xdr:row>
          <xdr:rowOff>9525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149</xdr:row>
          <xdr:rowOff>180975</xdr:rowOff>
        </xdr:from>
        <xdr:to>
          <xdr:col>2</xdr:col>
          <xdr:colOff>3152775</xdr:colOff>
          <xdr:row>151</xdr:row>
          <xdr:rowOff>9525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150</xdr:row>
          <xdr:rowOff>180975</xdr:rowOff>
        </xdr:from>
        <xdr:to>
          <xdr:col>2</xdr:col>
          <xdr:colOff>3019425</xdr:colOff>
          <xdr:row>152</xdr:row>
          <xdr:rowOff>9525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146</xdr:row>
          <xdr:rowOff>0</xdr:rowOff>
        </xdr:from>
        <xdr:to>
          <xdr:col>3</xdr:col>
          <xdr:colOff>9525</xdr:colOff>
          <xdr:row>152</xdr:row>
          <xdr:rowOff>76200</xdr:rowOff>
        </xdr:to>
        <xdr:sp macro="" textlink="">
          <xdr:nvSpPr>
            <xdr:cNvPr id="1327" name="Group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158</xdr:row>
          <xdr:rowOff>180975</xdr:rowOff>
        </xdr:from>
        <xdr:to>
          <xdr:col>2</xdr:col>
          <xdr:colOff>3181350</xdr:colOff>
          <xdr:row>160</xdr:row>
          <xdr:rowOff>9525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159</xdr:row>
          <xdr:rowOff>180975</xdr:rowOff>
        </xdr:from>
        <xdr:to>
          <xdr:col>2</xdr:col>
          <xdr:colOff>3181350</xdr:colOff>
          <xdr:row>161</xdr:row>
          <xdr:rowOff>9525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158</xdr:row>
          <xdr:rowOff>9525</xdr:rowOff>
        </xdr:from>
        <xdr:to>
          <xdr:col>3</xdr:col>
          <xdr:colOff>0</xdr:colOff>
          <xdr:row>161</xdr:row>
          <xdr:rowOff>76200</xdr:rowOff>
        </xdr:to>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158</xdr:row>
          <xdr:rowOff>180975</xdr:rowOff>
        </xdr:from>
        <xdr:to>
          <xdr:col>4</xdr:col>
          <xdr:colOff>2781300</xdr:colOff>
          <xdr:row>160</xdr:row>
          <xdr:rowOff>9525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159</xdr:row>
          <xdr:rowOff>180975</xdr:rowOff>
        </xdr:from>
        <xdr:to>
          <xdr:col>4</xdr:col>
          <xdr:colOff>2781300</xdr:colOff>
          <xdr:row>161</xdr:row>
          <xdr:rowOff>9525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en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160</xdr:row>
          <xdr:rowOff>180975</xdr:rowOff>
        </xdr:from>
        <xdr:to>
          <xdr:col>4</xdr:col>
          <xdr:colOff>2781300</xdr:colOff>
          <xdr:row>162</xdr:row>
          <xdr:rowOff>9525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3257550</xdr:colOff>
          <xdr:row>162</xdr:row>
          <xdr:rowOff>85725</xdr:rowOff>
        </xdr:to>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147</xdr:row>
          <xdr:rowOff>0</xdr:rowOff>
        </xdr:from>
        <xdr:to>
          <xdr:col>4</xdr:col>
          <xdr:colOff>2838450</xdr:colOff>
          <xdr:row>148</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148</xdr:row>
          <xdr:rowOff>0</xdr:rowOff>
        </xdr:from>
        <xdr:to>
          <xdr:col>4</xdr:col>
          <xdr:colOff>2838450</xdr:colOff>
          <xdr:row>149</xdr:row>
          <xdr:rowOff>19050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en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149</xdr:row>
          <xdr:rowOff>0</xdr:rowOff>
        </xdr:from>
        <xdr:to>
          <xdr:col>4</xdr:col>
          <xdr:colOff>2838450</xdr:colOff>
          <xdr:row>150</xdr:row>
          <xdr:rowOff>19050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0</xdr:rowOff>
        </xdr:from>
        <xdr:to>
          <xdr:col>5</xdr:col>
          <xdr:colOff>0</xdr:colOff>
          <xdr:row>150</xdr:row>
          <xdr:rowOff>104775</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165</xdr:row>
          <xdr:rowOff>142875</xdr:rowOff>
        </xdr:from>
        <xdr:to>
          <xdr:col>2</xdr:col>
          <xdr:colOff>2847975</xdr:colOff>
          <xdr:row>165</xdr:row>
          <xdr:rowOff>390525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165</xdr:row>
          <xdr:rowOff>352425</xdr:rowOff>
        </xdr:from>
        <xdr:to>
          <xdr:col>2</xdr:col>
          <xdr:colOff>2990850</xdr:colOff>
          <xdr:row>166</xdr:row>
          <xdr:rowOff>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165</xdr:row>
          <xdr:rowOff>9525</xdr:rowOff>
        </xdr:from>
        <xdr:to>
          <xdr:col>3</xdr:col>
          <xdr:colOff>0</xdr:colOff>
          <xdr:row>166</xdr:row>
          <xdr:rowOff>76200</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Aanschaf elektrische kookvoorziening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168</xdr:row>
          <xdr:rowOff>180975</xdr:rowOff>
        </xdr:from>
        <xdr:to>
          <xdr:col>2</xdr:col>
          <xdr:colOff>2905125</xdr:colOff>
          <xdr:row>169</xdr:row>
          <xdr:rowOff>9525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169</xdr:row>
          <xdr:rowOff>0</xdr:rowOff>
        </xdr:from>
        <xdr:to>
          <xdr:col>2</xdr:col>
          <xdr:colOff>2933700</xdr:colOff>
          <xdr:row>170</xdr:row>
          <xdr:rowOff>19050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168</xdr:row>
          <xdr:rowOff>0</xdr:rowOff>
        </xdr:from>
        <xdr:to>
          <xdr:col>3</xdr:col>
          <xdr:colOff>0</xdr:colOff>
          <xdr:row>170</xdr:row>
          <xdr:rowOff>85725</xdr:rowOff>
        </xdr:to>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Woning aangesloten op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172</xdr:row>
          <xdr:rowOff>171450</xdr:rowOff>
        </xdr:from>
        <xdr:to>
          <xdr:col>2</xdr:col>
          <xdr:colOff>2819400</xdr:colOff>
          <xdr:row>173</xdr:row>
          <xdr:rowOff>9525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173</xdr:row>
          <xdr:rowOff>0</xdr:rowOff>
        </xdr:from>
        <xdr:to>
          <xdr:col>2</xdr:col>
          <xdr:colOff>2819400</xdr:colOff>
          <xdr:row>174</xdr:row>
          <xdr:rowOff>47625</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172</xdr:row>
          <xdr:rowOff>9525</xdr:rowOff>
        </xdr:from>
        <xdr:to>
          <xdr:col>3</xdr:col>
          <xdr:colOff>0</xdr:colOff>
          <xdr:row>174</xdr:row>
          <xdr:rowOff>85725</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Eerdere subsidie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176</xdr:row>
          <xdr:rowOff>180975</xdr:rowOff>
        </xdr:from>
        <xdr:to>
          <xdr:col>2</xdr:col>
          <xdr:colOff>2686050</xdr:colOff>
          <xdr:row>177</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177</xdr:row>
          <xdr:rowOff>0</xdr:rowOff>
        </xdr:from>
        <xdr:to>
          <xdr:col>2</xdr:col>
          <xdr:colOff>2686050</xdr:colOff>
          <xdr:row>178</xdr:row>
          <xdr:rowOff>19050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3</xdr:col>
          <xdr:colOff>9525</xdr:colOff>
          <xdr:row>178</xdr:row>
          <xdr:rowOff>57150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Afgesloten van het aardgasnet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390525</xdr:rowOff>
        </xdr:from>
        <xdr:to>
          <xdr:col>2</xdr:col>
          <xdr:colOff>2990850</xdr:colOff>
          <xdr:row>68</xdr:row>
          <xdr:rowOff>609600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590550</xdr:rowOff>
        </xdr:from>
        <xdr:to>
          <xdr:col>2</xdr:col>
          <xdr:colOff>2990850</xdr:colOff>
          <xdr:row>68</xdr:row>
          <xdr:rowOff>809625</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HR++ glas, U ≤ 1,2 W/m2K en/of 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228600</xdr:rowOff>
        </xdr:from>
        <xdr:to>
          <xdr:col>2</xdr:col>
          <xdr:colOff>3343275</xdr:colOff>
          <xdr:row>69</xdr:row>
          <xdr:rowOff>9525</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71</xdr:row>
          <xdr:rowOff>180975</xdr:rowOff>
        </xdr:from>
        <xdr:to>
          <xdr:col>2</xdr:col>
          <xdr:colOff>3019425</xdr:colOff>
          <xdr:row>73</xdr:row>
          <xdr:rowOff>19050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72</xdr:row>
          <xdr:rowOff>180975</xdr:rowOff>
        </xdr:from>
        <xdr:to>
          <xdr:col>2</xdr:col>
          <xdr:colOff>3019425</xdr:colOff>
          <xdr:row>74</xdr:row>
          <xdr:rowOff>19050</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74</xdr:row>
          <xdr:rowOff>57150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78</xdr:row>
          <xdr:rowOff>180975</xdr:rowOff>
        </xdr:from>
        <xdr:to>
          <xdr:col>2</xdr:col>
          <xdr:colOff>2981325</xdr:colOff>
          <xdr:row>80</xdr:row>
          <xdr:rowOff>19050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79</xdr:row>
          <xdr:rowOff>180975</xdr:rowOff>
        </xdr:from>
        <xdr:to>
          <xdr:col>2</xdr:col>
          <xdr:colOff>2981325</xdr:colOff>
          <xdr:row>81</xdr:row>
          <xdr:rowOff>19050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81</xdr:row>
          <xdr:rowOff>66675</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85</xdr:row>
          <xdr:rowOff>180975</xdr:rowOff>
        </xdr:from>
        <xdr:to>
          <xdr:col>2</xdr:col>
          <xdr:colOff>3190875</xdr:colOff>
          <xdr:row>87</xdr:row>
          <xdr:rowOff>19050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86</xdr:row>
          <xdr:rowOff>180975</xdr:rowOff>
        </xdr:from>
        <xdr:to>
          <xdr:col>2</xdr:col>
          <xdr:colOff>3086100</xdr:colOff>
          <xdr:row>88</xdr:row>
          <xdr:rowOff>19050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88</xdr:row>
          <xdr:rowOff>85725</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92</xdr:row>
          <xdr:rowOff>171450</xdr:rowOff>
        </xdr:from>
        <xdr:to>
          <xdr:col>2</xdr:col>
          <xdr:colOff>3048000</xdr:colOff>
          <xdr:row>94</xdr:row>
          <xdr:rowOff>9525</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93</xdr:row>
          <xdr:rowOff>171450</xdr:rowOff>
        </xdr:from>
        <xdr:to>
          <xdr:col>2</xdr:col>
          <xdr:colOff>3048000</xdr:colOff>
          <xdr:row>95</xdr:row>
          <xdr:rowOff>9525</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95</xdr:row>
          <xdr:rowOff>76200</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99</xdr:row>
          <xdr:rowOff>180975</xdr:rowOff>
        </xdr:from>
        <xdr:to>
          <xdr:col>2</xdr:col>
          <xdr:colOff>2981325</xdr:colOff>
          <xdr:row>101</xdr:row>
          <xdr:rowOff>19050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100</xdr:row>
          <xdr:rowOff>180975</xdr:rowOff>
        </xdr:from>
        <xdr:to>
          <xdr:col>2</xdr:col>
          <xdr:colOff>2981325</xdr:colOff>
          <xdr:row>102</xdr:row>
          <xdr:rowOff>19050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3</xdr:col>
          <xdr:colOff>9525</xdr:colOff>
          <xdr:row>102</xdr:row>
          <xdr:rowOff>95250</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106</xdr:row>
          <xdr:rowOff>171450</xdr:rowOff>
        </xdr:from>
        <xdr:to>
          <xdr:col>2</xdr:col>
          <xdr:colOff>2971800</xdr:colOff>
          <xdr:row>108</xdr:row>
          <xdr:rowOff>9525</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171450</xdr:rowOff>
        </xdr:from>
        <xdr:to>
          <xdr:col>2</xdr:col>
          <xdr:colOff>2971800</xdr:colOff>
          <xdr:row>109</xdr:row>
          <xdr:rowOff>9525</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9525</xdr:colOff>
          <xdr:row>109</xdr:row>
          <xdr:rowOff>66675</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180975</xdr:rowOff>
        </xdr:from>
        <xdr:to>
          <xdr:col>4</xdr:col>
          <xdr:colOff>2962275</xdr:colOff>
          <xdr:row>73</xdr:row>
          <xdr:rowOff>19050</xdr:rowOff>
        </xdr:to>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180975</xdr:rowOff>
        </xdr:from>
        <xdr:to>
          <xdr:col>4</xdr:col>
          <xdr:colOff>2962275</xdr:colOff>
          <xdr:row>74</xdr:row>
          <xdr:rowOff>19050</xdr:rowOff>
        </xdr:to>
        <xdr:sp macro="" textlink="">
          <xdr:nvSpPr>
            <xdr:cNvPr id="1380" name="Option Butto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180975</xdr:rowOff>
        </xdr:from>
        <xdr:to>
          <xdr:col>4</xdr:col>
          <xdr:colOff>2962275</xdr:colOff>
          <xdr:row>75</xdr:row>
          <xdr:rowOff>19050</xdr:rowOff>
        </xdr:to>
        <xdr:sp macro="" textlink="">
          <xdr:nvSpPr>
            <xdr:cNvPr id="1381" name="Option Button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en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180975</xdr:rowOff>
        </xdr:from>
        <xdr:to>
          <xdr:col>4</xdr:col>
          <xdr:colOff>2962275</xdr:colOff>
          <xdr:row>76</xdr:row>
          <xdr:rowOff>19050</xdr:rowOff>
        </xdr:to>
        <xdr:sp macro="" textlink="">
          <xdr:nvSpPr>
            <xdr:cNvPr id="1383" name="Option Button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5</xdr:col>
          <xdr:colOff>0</xdr:colOff>
          <xdr:row>76</xdr:row>
          <xdr:rowOff>76200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78</xdr:row>
          <xdr:rowOff>180975</xdr:rowOff>
        </xdr:from>
        <xdr:to>
          <xdr:col>4</xdr:col>
          <xdr:colOff>2790825</xdr:colOff>
          <xdr:row>80</xdr:row>
          <xdr:rowOff>9525</xdr:rowOff>
        </xdr:to>
        <xdr:sp macro="" textlink="">
          <xdr:nvSpPr>
            <xdr:cNvPr id="1386" name="Option Button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79</xdr:row>
          <xdr:rowOff>180975</xdr:rowOff>
        </xdr:from>
        <xdr:to>
          <xdr:col>4</xdr:col>
          <xdr:colOff>2790825</xdr:colOff>
          <xdr:row>81</xdr:row>
          <xdr:rowOff>9525</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80</xdr:row>
          <xdr:rowOff>180975</xdr:rowOff>
        </xdr:from>
        <xdr:to>
          <xdr:col>4</xdr:col>
          <xdr:colOff>2790825</xdr:colOff>
          <xdr:row>82</xdr:row>
          <xdr:rowOff>9525</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81</xdr:row>
          <xdr:rowOff>180975</xdr:rowOff>
        </xdr:from>
        <xdr:to>
          <xdr:col>4</xdr:col>
          <xdr:colOff>2790825</xdr:colOff>
          <xdr:row>83</xdr:row>
          <xdr:rowOff>9525</xdr:rowOff>
        </xdr:to>
        <xdr:sp macro="" textlink="">
          <xdr:nvSpPr>
            <xdr:cNvPr id="1389" name="Option Button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0</xdr:colOff>
          <xdr:row>83</xdr:row>
          <xdr:rowOff>66675</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85</xdr:row>
          <xdr:rowOff>171450</xdr:rowOff>
        </xdr:from>
        <xdr:to>
          <xdr:col>4</xdr:col>
          <xdr:colOff>2686050</xdr:colOff>
          <xdr:row>87</xdr:row>
          <xdr:rowOff>9525</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86</xdr:row>
          <xdr:rowOff>171450</xdr:rowOff>
        </xdr:from>
        <xdr:to>
          <xdr:col>4</xdr:col>
          <xdr:colOff>2686050</xdr:colOff>
          <xdr:row>88</xdr:row>
          <xdr:rowOff>9525</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171450</xdr:rowOff>
        </xdr:from>
        <xdr:to>
          <xdr:col>4</xdr:col>
          <xdr:colOff>2686050</xdr:colOff>
          <xdr:row>89</xdr:row>
          <xdr:rowOff>9525</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171450</xdr:rowOff>
        </xdr:from>
        <xdr:to>
          <xdr:col>4</xdr:col>
          <xdr:colOff>2686050</xdr:colOff>
          <xdr:row>90</xdr:row>
          <xdr:rowOff>9525</xdr:rowOff>
        </xdr:to>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5</xdr:col>
          <xdr:colOff>0</xdr:colOff>
          <xdr:row>90</xdr:row>
          <xdr:rowOff>76200</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171450</xdr:rowOff>
        </xdr:from>
        <xdr:to>
          <xdr:col>4</xdr:col>
          <xdr:colOff>2943225</xdr:colOff>
          <xdr:row>94</xdr:row>
          <xdr:rowOff>9525</xdr:rowOff>
        </xdr:to>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93</xdr:row>
          <xdr:rowOff>171450</xdr:rowOff>
        </xdr:from>
        <xdr:to>
          <xdr:col>4</xdr:col>
          <xdr:colOff>2943225</xdr:colOff>
          <xdr:row>95</xdr:row>
          <xdr:rowOff>9525</xdr:rowOff>
        </xdr:to>
        <xdr:sp macro="" textlink="">
          <xdr:nvSpPr>
            <xdr:cNvPr id="1398" name="Option Button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94</xdr:row>
          <xdr:rowOff>171450</xdr:rowOff>
        </xdr:from>
        <xdr:to>
          <xdr:col>4</xdr:col>
          <xdr:colOff>2943225</xdr:colOff>
          <xdr:row>96</xdr:row>
          <xdr:rowOff>9525</xdr:rowOff>
        </xdr:to>
        <xdr:sp macro="" textlink="">
          <xdr:nvSpPr>
            <xdr:cNvPr id="1399" name="Option Button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95</xdr:row>
          <xdr:rowOff>171450</xdr:rowOff>
        </xdr:from>
        <xdr:to>
          <xdr:col>4</xdr:col>
          <xdr:colOff>2943225</xdr:colOff>
          <xdr:row>97</xdr:row>
          <xdr:rowOff>9525</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5</xdr:col>
          <xdr:colOff>0</xdr:colOff>
          <xdr:row>97</xdr:row>
          <xdr:rowOff>76200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99</xdr:row>
          <xdr:rowOff>171450</xdr:rowOff>
        </xdr:from>
        <xdr:to>
          <xdr:col>4</xdr:col>
          <xdr:colOff>2781300</xdr:colOff>
          <xdr:row>101</xdr:row>
          <xdr:rowOff>9525</xdr:rowOff>
        </xdr:to>
        <xdr:sp macro="" textlink="">
          <xdr:nvSpPr>
            <xdr:cNvPr id="1402" name="Option Button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100</xdr:row>
          <xdr:rowOff>171450</xdr:rowOff>
        </xdr:from>
        <xdr:to>
          <xdr:col>4</xdr:col>
          <xdr:colOff>2781300</xdr:colOff>
          <xdr:row>102</xdr:row>
          <xdr:rowOff>9525</xdr:rowOff>
        </xdr:to>
        <xdr:sp macro="" textlink="">
          <xdr:nvSpPr>
            <xdr:cNvPr id="1403" name="Option Button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171450</xdr:rowOff>
        </xdr:from>
        <xdr:to>
          <xdr:col>4</xdr:col>
          <xdr:colOff>2781300</xdr:colOff>
          <xdr:row>103</xdr:row>
          <xdr:rowOff>9525</xdr:rowOff>
        </xdr:to>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102</xdr:row>
          <xdr:rowOff>171450</xdr:rowOff>
        </xdr:from>
        <xdr:to>
          <xdr:col>4</xdr:col>
          <xdr:colOff>2781300</xdr:colOff>
          <xdr:row>104</xdr:row>
          <xdr:rowOff>9525</xdr:rowOff>
        </xdr:to>
        <xdr:sp macro="" textlink="">
          <xdr:nvSpPr>
            <xdr:cNvPr id="1405" name="Option Button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0</xdr:rowOff>
        </xdr:from>
        <xdr:to>
          <xdr:col>5</xdr:col>
          <xdr:colOff>0</xdr:colOff>
          <xdr:row>104</xdr:row>
          <xdr:rowOff>57150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106</xdr:row>
          <xdr:rowOff>180975</xdr:rowOff>
        </xdr:from>
        <xdr:to>
          <xdr:col>4</xdr:col>
          <xdr:colOff>2867025</xdr:colOff>
          <xdr:row>108</xdr:row>
          <xdr:rowOff>19050</xdr:rowOff>
        </xdr:to>
        <xdr:sp macro="" textlink="">
          <xdr:nvSpPr>
            <xdr:cNvPr id="1409" name="Option Button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107</xdr:row>
          <xdr:rowOff>180975</xdr:rowOff>
        </xdr:from>
        <xdr:to>
          <xdr:col>4</xdr:col>
          <xdr:colOff>2867025</xdr:colOff>
          <xdr:row>109</xdr:row>
          <xdr:rowOff>19050</xdr:rowOff>
        </xdr:to>
        <xdr:sp macro="" textlink="">
          <xdr:nvSpPr>
            <xdr:cNvPr id="1410" name="Option Button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2 april 2022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180975</xdr:rowOff>
        </xdr:from>
        <xdr:to>
          <xdr:col>4</xdr:col>
          <xdr:colOff>2867025</xdr:colOff>
          <xdr:row>110</xdr:row>
          <xdr:rowOff>19050</xdr:rowOff>
        </xdr:to>
        <xdr:sp macro="" textlink="">
          <xdr:nvSpPr>
            <xdr:cNvPr id="1411" name="Option Button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 april - 31 december 2022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180975</xdr:rowOff>
        </xdr:from>
        <xdr:to>
          <xdr:col>4</xdr:col>
          <xdr:colOff>2867025</xdr:colOff>
          <xdr:row>111</xdr:row>
          <xdr:rowOff>19050</xdr:rowOff>
        </xdr:to>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111</xdr:row>
          <xdr:rowOff>76200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171450</xdr:rowOff>
        </xdr:from>
        <xdr:to>
          <xdr:col>2</xdr:col>
          <xdr:colOff>3152775</xdr:colOff>
          <xdr:row>58</xdr:row>
          <xdr:rowOff>28575</xdr:rowOff>
        </xdr:to>
        <xdr:sp macro="" textlink="">
          <xdr:nvSpPr>
            <xdr:cNvPr id="1414" name="Check Box 390" descr="Biobased"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Dakisolatie/Zolder-of vlieringisolatie is biobased</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53" Type="http://schemas.openxmlformats.org/officeDocument/2006/relationships/comments" Target="../comments1.xml"/><Relationship Id="rId1" Type="http://schemas.openxmlformats.org/officeDocument/2006/relationships/hyperlink" Target="https://www.rvo.nl/subsidies-financiering/isde/woningeigenaren/warmtepomp"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151" Type="http://schemas.openxmlformats.org/officeDocument/2006/relationships/ctrlProp" Target="../ctrlProps/ctrlProp144.xml"/><Relationship Id="rId4" Type="http://schemas.openxmlformats.org/officeDocument/2006/relationships/hyperlink" Target="http://www.rvo.nl/isde-warmtenet"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www.rvo.nl/subsidies-financiering/isde/woningeigenaren/zonneboiler"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ww.rvo.nl/isde-isolat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codeName="Blad1">
    <pageSetUpPr fitToPage="1"/>
  </sheetPr>
  <dimension ref="A1:Q185"/>
  <sheetViews>
    <sheetView tabSelected="1" topLeftCell="A131" zoomScale="105" zoomScaleNormal="105" workbookViewId="0">
      <selection activeCell="C6" sqref="C6"/>
    </sheetView>
  </sheetViews>
  <sheetFormatPr defaultColWidth="9.140625" defaultRowHeight="15"/>
  <cols>
    <col min="1" max="1" width="40.140625" style="18" customWidth="1"/>
    <col min="2" max="2" width="1.7109375" style="18" customWidth="1"/>
    <col min="3" max="3" width="50.28515625" style="18" customWidth="1"/>
    <col min="4" max="4" width="1.7109375" style="18" customWidth="1"/>
    <col min="5" max="5" width="49" style="18" customWidth="1"/>
    <col min="6" max="6" width="1.7109375" style="18" customWidth="1"/>
    <col min="7" max="7" width="18.7109375" style="18" customWidth="1"/>
    <col min="8" max="8" width="1.7109375" style="18" customWidth="1"/>
    <col min="9" max="9" width="15.7109375" style="18" customWidth="1"/>
    <col min="10" max="10" width="1.7109375" style="18" customWidth="1"/>
    <col min="11" max="11" width="12.7109375" style="18" customWidth="1"/>
    <col min="12" max="12" width="1.7109375" style="18" customWidth="1"/>
    <col min="13" max="13" width="13.7109375" style="18" customWidth="1"/>
    <col min="14" max="14" width="1.7109375" style="18" customWidth="1"/>
    <col min="15" max="15" width="13.7109375" style="18" customWidth="1"/>
    <col min="16" max="16" width="2.7109375" style="18" customWidth="1"/>
    <col min="17" max="17" width="91.140625" style="18" customWidth="1"/>
    <col min="18" max="16384" width="9.140625" style="18"/>
  </cols>
  <sheetData>
    <row r="1" spans="1:16" ht="135.75" customHeight="1">
      <c r="A1" s="16"/>
      <c r="B1" s="16"/>
      <c r="C1" s="16"/>
      <c r="D1" s="16"/>
      <c r="E1" s="16"/>
      <c r="F1" s="16"/>
      <c r="G1" s="16"/>
      <c r="H1" s="16"/>
      <c r="I1" s="16"/>
      <c r="J1" s="16"/>
      <c r="K1" s="16"/>
      <c r="L1" s="16"/>
      <c r="M1" s="16"/>
      <c r="N1" s="16"/>
      <c r="O1" s="16"/>
      <c r="P1" s="16"/>
    </row>
    <row r="2" spans="1:16" ht="36.75" customHeight="1">
      <c r="A2" s="116" t="s">
        <v>316</v>
      </c>
      <c r="B2" s="19"/>
      <c r="C2" s="19"/>
    </row>
    <row r="3" spans="1:16">
      <c r="A3" s="18" t="s">
        <v>129</v>
      </c>
    </row>
    <row r="5" spans="1:16" ht="68.25" customHeight="1">
      <c r="A5" s="166" t="s">
        <v>314</v>
      </c>
      <c r="B5" s="166"/>
      <c r="C5" s="167"/>
      <c r="D5" s="167"/>
      <c r="E5" s="167"/>
      <c r="F5" s="167"/>
      <c r="G5" s="167"/>
      <c r="H5" s="167"/>
      <c r="I5" s="167"/>
      <c r="J5" s="167"/>
      <c r="K5" s="167"/>
      <c r="L5" s="167"/>
      <c r="M5" s="167"/>
      <c r="N5" s="167"/>
      <c r="O5" s="167"/>
    </row>
    <row r="6" spans="1:16" ht="33.75" customHeight="1">
      <c r="A6" s="64"/>
      <c r="B6" s="64"/>
      <c r="C6" s="67"/>
      <c r="D6" s="67"/>
      <c r="E6" s="67"/>
      <c r="F6" s="67"/>
      <c r="G6" s="67"/>
      <c r="H6" s="67"/>
      <c r="I6" s="67"/>
      <c r="J6" s="67"/>
    </row>
    <row r="7" spans="1:16" ht="33.75" customHeight="1">
      <c r="A7" s="79" t="s">
        <v>101</v>
      </c>
      <c r="B7" s="64"/>
      <c r="C7" s="67"/>
      <c r="D7" s="67"/>
      <c r="E7" s="67"/>
      <c r="F7" s="67"/>
      <c r="G7" s="67"/>
      <c r="H7" s="67"/>
      <c r="I7" s="67"/>
      <c r="J7" s="67"/>
    </row>
    <row r="8" spans="1:16" ht="20.100000000000001" customHeight="1">
      <c r="A8" s="155" t="s">
        <v>2</v>
      </c>
      <c r="B8" s="155"/>
      <c r="C8" s="156"/>
    </row>
    <row r="9" spans="1:16" ht="20.100000000000001" customHeight="1">
      <c r="A9" s="20" t="s">
        <v>0</v>
      </c>
      <c r="B9" s="20"/>
      <c r="C9" s="69"/>
    </row>
    <row r="10" spans="1:16" ht="20.100000000000001" customHeight="1">
      <c r="A10" s="20" t="s">
        <v>9</v>
      </c>
      <c r="B10" s="21"/>
      <c r="C10" s="69"/>
    </row>
    <row r="11" spans="1:16" ht="20.100000000000001" customHeight="1">
      <c r="A11" s="68" t="s">
        <v>1</v>
      </c>
      <c r="B11" s="68"/>
      <c r="C11" s="69"/>
    </row>
    <row r="14" spans="1:16">
      <c r="A14" s="158" t="s">
        <v>285</v>
      </c>
      <c r="B14" s="158"/>
      <c r="C14" s="159"/>
      <c r="D14" s="160"/>
      <c r="E14" s="160"/>
      <c r="G14" s="47"/>
    </row>
    <row r="15" spans="1:16" ht="20.100000000000001" customHeight="1">
      <c r="A15" s="70"/>
      <c r="B15" s="70"/>
      <c r="C15" s="71"/>
    </row>
    <row r="16" spans="1:16" ht="20.25">
      <c r="A16" s="78" t="s">
        <v>96</v>
      </c>
      <c r="B16" s="70"/>
      <c r="C16" s="71"/>
    </row>
    <row r="17" spans="1:17" ht="23.25">
      <c r="A17" s="22"/>
      <c r="B17" s="70"/>
      <c r="C17" s="71"/>
    </row>
    <row r="18" spans="1:17" ht="15.75">
      <c r="A18" s="76" t="s">
        <v>97</v>
      </c>
      <c r="B18" s="70"/>
      <c r="C18" s="71"/>
      <c r="E18" s="110" t="str">
        <f>IF(Hulpblad!B4=1,"",IF(Hulpblad!B4=2,"Let op: U kunt voor dezelfde techniek niet nogmaals subsidie aanvragen!","Let op: U kunt voor dezelfde techniek niet nogmaals subsidie aanvragen, maar eerder gesubsidieerde én uitgevoerde maatregelen die niet langer dan 24 maanden zijn geleden tellen wel mee voor de twee-maatregelen eis!"))</f>
        <v/>
      </c>
    </row>
    <row r="19" spans="1:17" ht="15.75">
      <c r="A19" s="23"/>
      <c r="B19" s="70"/>
      <c r="C19" s="71"/>
      <c r="E19" s="24"/>
    </row>
    <row r="20" spans="1:17" ht="15.75">
      <c r="A20" s="23"/>
      <c r="B20" s="70"/>
      <c r="C20" s="71"/>
      <c r="E20" s="24"/>
    </row>
    <row r="21" spans="1:17" ht="15.75">
      <c r="A21" s="23"/>
      <c r="B21" s="70"/>
      <c r="C21" s="71"/>
      <c r="E21" s="24"/>
    </row>
    <row r="22" spans="1:17" ht="15.75">
      <c r="A22" s="70"/>
      <c r="B22" s="70"/>
      <c r="C22" s="71"/>
    </row>
    <row r="23" spans="1:17" ht="20.25">
      <c r="A23" s="77" t="s">
        <v>102</v>
      </c>
      <c r="Q23" s="72"/>
    </row>
    <row r="24" spans="1:17">
      <c r="A24" s="110" t="s">
        <v>103</v>
      </c>
      <c r="B24" s="24"/>
      <c r="C24" s="24"/>
      <c r="D24" s="24"/>
      <c r="E24" s="25"/>
      <c r="Q24" s="72"/>
    </row>
    <row r="25" spans="1:17">
      <c r="A25" s="110" t="s">
        <v>104</v>
      </c>
      <c r="B25" s="24"/>
      <c r="C25" s="24"/>
      <c r="D25" s="24"/>
      <c r="E25" s="25"/>
      <c r="Q25" s="72"/>
    </row>
    <row r="26" spans="1:17">
      <c r="A26" s="110" t="s">
        <v>105</v>
      </c>
      <c r="B26" s="24"/>
      <c r="C26" s="24"/>
      <c r="D26" s="24"/>
      <c r="Q26" s="72"/>
    </row>
    <row r="27" spans="1:17" ht="42" customHeight="1">
      <c r="C27" s="69" t="s">
        <v>134</v>
      </c>
      <c r="E27" s="80" t="s">
        <v>79</v>
      </c>
      <c r="G27" s="81" t="s">
        <v>272</v>
      </c>
      <c r="I27" s="81" t="s">
        <v>273</v>
      </c>
      <c r="K27" s="82" t="s">
        <v>274</v>
      </c>
      <c r="M27" s="80" t="s">
        <v>275</v>
      </c>
      <c r="O27" s="81" t="s">
        <v>276</v>
      </c>
      <c r="Q27" s="72"/>
    </row>
    <row r="28" spans="1:17" ht="15" customHeight="1">
      <c r="A28" s="72" t="s">
        <v>51</v>
      </c>
      <c r="E28" s="67"/>
      <c r="G28" s="83" t="str">
        <f>""&amp;VLOOKUP(Hulpblad!C14,Hulpblad!B11:H15,6,FALSE)&amp;" - "&amp;VLOOKUP(Hulpblad!C14,Hulpblad!B11:H15,7,FALSE)&amp;""</f>
        <v xml:space="preserve"> - </v>
      </c>
      <c r="I28" s="84">
        <f>VLOOKUP(Hulpblad!C14,Hulpblad!B11:M15,12,FALSE)</f>
        <v>0</v>
      </c>
      <c r="K28" s="85"/>
      <c r="L28" s="72"/>
      <c r="M28" s="86">
        <f>IF(AND(I28&gt;0,K28&gt;=Hulpblad!G15),MIN(Hulpblad!H15,K28),0)</f>
        <v>0</v>
      </c>
      <c r="N28" s="72"/>
      <c r="O28" s="87">
        <f>I28*M28</f>
        <v>0</v>
      </c>
      <c r="Q28" s="110" t="str">
        <f>IF(Hulpblad!C14="Geen dakisolatie","",
IF(Hulpblad!E15=1,"Vul in wanneer de isolatie is aangebracht",
IF(K28=0,"Vul in de blauwe cel het aantal m² te isoleren oppervlak in",
IF(K28&lt;Hulpblad!G15,"U voldoet niet aan het minimum oppervlakte om voor subsidie in aanmerking te komen.",
IF(AND(Hulpblad!F15="Vóór 2 april 2022 én ≤ 24 maanden geleden",I28=0),"Het subsidiebedrag is € 0,00 omdat u nog maar één type isolatiemaatregel met installatiedatum vóór 2 april 2022 heeft ingevuld.","")))))</f>
        <v/>
      </c>
    </row>
    <row r="29" spans="1:17" ht="15" customHeight="1">
      <c r="C29" s="26"/>
      <c r="Q29" s="72"/>
    </row>
    <row r="30" spans="1:17" ht="15" customHeight="1">
      <c r="C30" s="26"/>
      <c r="Q30" s="72"/>
    </row>
    <row r="31" spans="1:17" ht="15" customHeight="1">
      <c r="C31" s="26"/>
      <c r="Q31" s="72"/>
    </row>
    <row r="32" spans="1:17" ht="15" customHeight="1">
      <c r="C32" s="26"/>
      <c r="Q32" s="72"/>
    </row>
    <row r="33" spans="1:17" ht="15" customHeight="1">
      <c r="C33" s="26"/>
      <c r="E33" s="30"/>
      <c r="I33" s="28"/>
      <c r="K33" s="29"/>
      <c r="O33" s="26"/>
      <c r="Q33" s="73"/>
    </row>
    <row r="34" spans="1:17" ht="15.75" customHeight="1">
      <c r="C34" s="26"/>
      <c r="E34" s="30"/>
      <c r="I34" s="28"/>
      <c r="K34" s="29"/>
      <c r="O34" s="26"/>
      <c r="Q34" s="73"/>
    </row>
    <row r="35" spans="1:17" ht="15" customHeight="1">
      <c r="A35" s="72" t="s">
        <v>52</v>
      </c>
      <c r="C35" s="26"/>
      <c r="G35" s="83" t="str">
        <f>""&amp;VLOOKUP(Hulpblad!C19,Hulpblad!B17:H18,6,FALSE)&amp;" - "&amp;VLOOKUP(Hulpblad!C19,Hulpblad!B17:H18,7,FALSE)&amp;""</f>
        <v xml:space="preserve"> - </v>
      </c>
      <c r="H35" s="72"/>
      <c r="I35" s="84">
        <f>VLOOKUP(Hulpblad!C19,Hulpblad!B17:M18,12,FALSE)</f>
        <v>0</v>
      </c>
      <c r="J35" s="72"/>
      <c r="K35" s="85"/>
      <c r="L35" s="72"/>
      <c r="M35" s="86">
        <f>IF(AND(I35&gt;0,K35&gt;=Hulpblad!G18),MIN(Hulpblad!H18,K35),0)</f>
        <v>0</v>
      </c>
      <c r="N35" s="72"/>
      <c r="O35" s="87">
        <f>I35*M35</f>
        <v>0</v>
      </c>
      <c r="Q35" s="110" t="str">
        <f>IF(Hulpblad!C19="Geen gevelisolatie","",
IF(Hulpblad!E21=1,"Vul in wanneer de isolatie is aangebracht",
IF(K35=0,"Vul in de blauwe cel het aantal m² te isoleren oppervlak in",
IF(K35&lt;Hulpblad!G18,"U voldoet niet aan het minimum oppervlakte om voor subsidie in aanmerking te komen.",
IF(AND(Hulpblad!F21="Vóór 2 april 2022 én ≤ 24 maanden geleden",I35=0),"Het subsidiebedrag is € 0,00 omdat u nog maar één type isolatiemaatregel met installatiedatum vóór 2 april 2022 heeft ingevuld.","")))))</f>
        <v/>
      </c>
    </row>
    <row r="36" spans="1:17" ht="15" customHeight="1">
      <c r="C36" s="26"/>
      <c r="G36" s="88"/>
      <c r="H36" s="72"/>
      <c r="I36" s="89"/>
      <c r="J36" s="72"/>
      <c r="K36" s="117"/>
      <c r="L36" s="72"/>
      <c r="M36" s="75"/>
      <c r="N36" s="72"/>
      <c r="O36" s="90"/>
      <c r="Q36" s="110"/>
    </row>
    <row r="37" spans="1:17" ht="15" customHeight="1">
      <c r="C37" s="26"/>
      <c r="G37" s="88"/>
      <c r="H37" s="72"/>
      <c r="I37" s="89"/>
      <c r="J37" s="72"/>
      <c r="K37" s="117"/>
      <c r="L37" s="72"/>
      <c r="M37" s="75"/>
      <c r="N37" s="72"/>
      <c r="O37" s="90"/>
      <c r="Q37" s="110"/>
    </row>
    <row r="38" spans="1:17" ht="15" customHeight="1">
      <c r="C38" s="26"/>
      <c r="G38" s="88"/>
      <c r="H38" s="72"/>
      <c r="I38" s="89"/>
      <c r="J38" s="72"/>
      <c r="K38" s="117"/>
      <c r="L38" s="72"/>
      <c r="M38" s="75"/>
      <c r="N38" s="72"/>
      <c r="O38" s="90"/>
      <c r="Q38" s="110"/>
    </row>
    <row r="39" spans="1:17" ht="15" customHeight="1">
      <c r="C39" s="26"/>
      <c r="G39" s="88"/>
      <c r="H39" s="72"/>
      <c r="I39" s="89"/>
      <c r="J39" s="72"/>
      <c r="K39" s="117"/>
      <c r="L39" s="72"/>
      <c r="M39" s="75"/>
      <c r="N39" s="72"/>
      <c r="O39" s="90"/>
      <c r="Q39" s="110"/>
    </row>
    <row r="40" spans="1:17" ht="15" customHeight="1">
      <c r="C40" s="26"/>
      <c r="G40" s="72"/>
      <c r="H40" s="72"/>
      <c r="I40" s="91"/>
      <c r="J40" s="72"/>
      <c r="K40" s="88"/>
      <c r="L40" s="72"/>
      <c r="M40" s="72"/>
      <c r="N40" s="72"/>
      <c r="O40" s="92"/>
      <c r="Q40" s="73"/>
    </row>
    <row r="41" spans="1:17" ht="15.75" customHeight="1">
      <c r="C41" s="26"/>
      <c r="G41" s="72"/>
      <c r="H41" s="72"/>
      <c r="I41" s="91"/>
      <c r="J41" s="72"/>
      <c r="K41" s="88"/>
      <c r="L41" s="72"/>
      <c r="M41" s="72"/>
      <c r="N41" s="72"/>
      <c r="O41" s="92"/>
      <c r="Q41" s="73"/>
    </row>
    <row r="42" spans="1:17" ht="15" customHeight="1">
      <c r="A42" s="72" t="s">
        <v>53</v>
      </c>
      <c r="C42" s="26"/>
      <c r="G42" s="83" t="str">
        <f>""&amp;VLOOKUP(Hulpblad!C25,Hulpblad!B23:H24,6,FALSE)&amp;" - "&amp;VLOOKUP(Hulpblad!C25,Hulpblad!B23:H24,7,FALSE)&amp;""</f>
        <v xml:space="preserve"> - </v>
      </c>
      <c r="H42" s="72"/>
      <c r="I42" s="84">
        <f>VLOOKUP(Hulpblad!C25,Hulpblad!B23:M24,12,FALSE)</f>
        <v>0</v>
      </c>
      <c r="J42" s="72"/>
      <c r="K42" s="85"/>
      <c r="L42" s="72"/>
      <c r="M42" s="86">
        <f>IF(AND(I42&gt;0,K42&gt;=Hulpblad!G24),MIN(Hulpblad!H24,K42),0)</f>
        <v>0</v>
      </c>
      <c r="N42" s="72"/>
      <c r="O42" s="87">
        <f>I42*M42</f>
        <v>0</v>
      </c>
      <c r="Q42" s="110" t="str">
        <f>IF(Hulpblad!C25="Geen spouwmuurisolatie","",
IF(Hulpblad!E27=1,"Vul in wanneer de isolatie is aangebracht",
IF(K42=0,"Vul in de blauwe cel het aantal m² te isoleren oppervlak in",
IF(K42&lt;Hulpblad!G24,"U voldoet niet aan het minimum oppervlakte om voor subsidie in aanmerking te komen.",
IF(AND(Hulpblad!F27="Vóór 2 april 2022 én ≤ 24 maanden geleden",I42=0),"Het subsidiebedrag is € 0,00 omdat u nog maar één type isolatiemaatregel met installatiedatum vóór 2 april 2022 heeft ingevuld.","")))))</f>
        <v/>
      </c>
    </row>
    <row r="43" spans="1:17" ht="15" customHeight="1">
      <c r="C43" s="26"/>
      <c r="G43" s="88"/>
      <c r="H43" s="72"/>
      <c r="I43" s="89"/>
      <c r="J43" s="72"/>
      <c r="K43" s="117"/>
      <c r="L43" s="72"/>
      <c r="M43" s="75"/>
      <c r="N43" s="72"/>
      <c r="O43" s="90"/>
      <c r="Q43" s="110"/>
    </row>
    <row r="44" spans="1:17" ht="15" customHeight="1">
      <c r="C44" s="26"/>
      <c r="G44" s="88"/>
      <c r="H44" s="72"/>
      <c r="I44" s="89"/>
      <c r="J44" s="72"/>
      <c r="K44" s="117"/>
      <c r="L44" s="72"/>
      <c r="M44" s="75"/>
      <c r="N44" s="72"/>
      <c r="O44" s="90"/>
      <c r="Q44" s="110"/>
    </row>
    <row r="45" spans="1:17" ht="15" customHeight="1">
      <c r="C45" s="26"/>
      <c r="G45" s="88"/>
      <c r="H45" s="72"/>
      <c r="I45" s="89"/>
      <c r="J45" s="72"/>
      <c r="K45" s="117"/>
      <c r="L45" s="72"/>
      <c r="M45" s="75"/>
      <c r="N45" s="72"/>
      <c r="O45" s="90"/>
      <c r="Q45" s="110"/>
    </row>
    <row r="46" spans="1:17" ht="15" customHeight="1">
      <c r="C46" s="26"/>
      <c r="G46" s="88"/>
      <c r="H46" s="72"/>
      <c r="I46" s="89"/>
      <c r="J46" s="72"/>
      <c r="K46" s="117"/>
      <c r="L46" s="72"/>
      <c r="M46" s="75"/>
      <c r="N46" s="72"/>
      <c r="O46" s="90"/>
      <c r="Q46" s="110"/>
    </row>
    <row r="47" spans="1:17" ht="15" customHeight="1">
      <c r="C47" s="26"/>
      <c r="G47" s="88"/>
      <c r="H47" s="72"/>
      <c r="I47" s="89"/>
      <c r="J47" s="72"/>
      <c r="K47" s="117"/>
      <c r="L47" s="72"/>
      <c r="M47" s="75"/>
      <c r="N47" s="72"/>
      <c r="O47" s="90"/>
      <c r="Q47" s="110"/>
    </row>
    <row r="48" spans="1:17" ht="15" customHeight="1">
      <c r="C48" s="26"/>
      <c r="G48" s="72"/>
      <c r="H48" s="72"/>
      <c r="I48" s="91"/>
      <c r="J48" s="72"/>
      <c r="K48" s="88"/>
      <c r="L48" s="72"/>
      <c r="M48" s="72"/>
      <c r="N48" s="72"/>
      <c r="O48" s="92"/>
      <c r="Q48" s="73"/>
    </row>
    <row r="49" spans="1:17" ht="15" customHeight="1">
      <c r="A49" s="72" t="s">
        <v>54</v>
      </c>
      <c r="C49" s="26"/>
      <c r="G49" s="83" t="str">
        <f>""&amp;VLOOKUP(Hulpblad!C32,Hulpblad!B29:H31,6,FALSE)&amp;" - "&amp;VLOOKUP(Hulpblad!C32,Hulpblad!B29:H31,7,FALSE)&amp;""</f>
        <v xml:space="preserve"> - </v>
      </c>
      <c r="H49" s="72"/>
      <c r="I49" s="84">
        <f>VLOOKUP(Hulpblad!C32,Hulpblad!B29:M31,12,FALSE)</f>
        <v>0</v>
      </c>
      <c r="J49" s="72"/>
      <c r="K49" s="85"/>
      <c r="L49" s="72"/>
      <c r="M49" s="86">
        <f>IF(AND(I49&gt;0,K49&gt;=Hulpblad!G30),MIN(Hulpblad!H30,K49),0)</f>
        <v>0</v>
      </c>
      <c r="N49" s="72"/>
      <c r="O49" s="87">
        <f>I49*M49</f>
        <v>0</v>
      </c>
      <c r="Q49" s="110" t="str">
        <f>IF(Hulpblad!C32="Geen vloerisolatie","",
IF(Hulpblad!E33=1,"Vul in wanneer de isolatie is aangebracht",
IF(K49=0,"Vul in de blauwe cel het aantal m² te isoleren oppervlak in",
IF(K49&lt;Hulpblad!G30,"U voldoet niet aan het minimum oppervlakte om voor subsidie in aanmerking te komen.",
IF(AND(Hulpblad!F33="Vóór 2 april 2022 én ≤ 24 maanden geleden",I49=0),"Het subsidiebedrag is € 0,00 omdat u nog maar één type isolatiemaatregel met installatiedatum vóór 2 april 2022 heeft ingevuld.","")))))</f>
        <v/>
      </c>
    </row>
    <row r="50" spans="1:17">
      <c r="C50" s="26"/>
      <c r="Q50" s="72"/>
    </row>
    <row r="51" spans="1:17" ht="15" customHeight="1">
      <c r="C51" s="26"/>
      <c r="G51" s="28"/>
      <c r="I51" s="28"/>
      <c r="K51" s="29"/>
      <c r="O51" s="31"/>
      <c r="Q51" s="73"/>
    </row>
    <row r="52" spans="1:17" ht="15" customHeight="1">
      <c r="C52" s="26"/>
      <c r="G52" s="28"/>
      <c r="I52" s="28"/>
      <c r="K52" s="29"/>
      <c r="O52" s="31"/>
      <c r="Q52" s="73"/>
    </row>
    <row r="53" spans="1:17" ht="15" customHeight="1">
      <c r="C53" s="26"/>
      <c r="G53" s="28"/>
      <c r="I53" s="28"/>
      <c r="K53" s="29"/>
      <c r="O53" s="31"/>
      <c r="Q53" s="73"/>
    </row>
    <row r="54" spans="1:17">
      <c r="C54" s="26"/>
      <c r="Q54" s="72"/>
    </row>
    <row r="55" spans="1:17" ht="30" customHeight="1">
      <c r="A55" s="72" t="s">
        <v>271</v>
      </c>
      <c r="C55" s="26"/>
      <c r="I55" s="162" t="s">
        <v>315</v>
      </c>
      <c r="Q55" s="72"/>
    </row>
    <row r="56" spans="1:17" ht="15" customHeight="1">
      <c r="A56" s="72" t="s">
        <v>128</v>
      </c>
      <c r="C56" s="26"/>
      <c r="I56" s="163"/>
      <c r="J56" s="72"/>
      <c r="K56" s="72"/>
      <c r="L56" s="72"/>
      <c r="M56" s="72"/>
      <c r="N56" s="72"/>
      <c r="O56" s="72" t="s">
        <v>277</v>
      </c>
      <c r="Q56" s="72"/>
    </row>
    <row r="57" spans="1:17" ht="15" customHeight="1">
      <c r="C57" s="26"/>
      <c r="I57" s="72"/>
      <c r="J57" s="72"/>
      <c r="K57" s="72"/>
      <c r="L57" s="72"/>
      <c r="M57" s="72"/>
      <c r="N57" s="72"/>
      <c r="O57" s="72"/>
      <c r="Q57" s="72"/>
    </row>
    <row r="58" spans="1:17" ht="15" customHeight="1">
      <c r="C58" s="26"/>
      <c r="I58" s="150">
        <f>IF(Hulpblad!B36=FALSE,0,VLOOKUP(Hulpblad!C14,Hulpblad!B11:N15,13,FALSE))</f>
        <v>0</v>
      </c>
      <c r="J58" s="72"/>
      <c r="K58" s="72"/>
      <c r="L58" s="72"/>
      <c r="M58" s="72"/>
      <c r="N58" s="72"/>
      <c r="O58" s="87">
        <f>M28*I58</f>
        <v>0</v>
      </c>
      <c r="Q58" s="110" t="str">
        <f>IF(AND(O28&gt;0,Hulpblad!E15&lt;4,Hulpblad!B36=TRUE),"U komt niet in aanmerking voor een MKI-bonus omdat de dakisolatie-maatregel vóór 1 januari 2024 is uitgevoerd.","")</f>
        <v/>
      </c>
    </row>
    <row r="59" spans="1:17" ht="15" customHeight="1">
      <c r="C59" s="26"/>
      <c r="I59" s="72"/>
      <c r="J59" s="72"/>
      <c r="K59" s="72"/>
      <c r="L59" s="72"/>
      <c r="M59" s="72"/>
      <c r="N59" s="72"/>
      <c r="O59" s="72"/>
      <c r="Q59" s="72"/>
    </row>
    <row r="60" spans="1:17" ht="15" customHeight="1">
      <c r="C60" s="26"/>
      <c r="E60" s="26"/>
      <c r="I60" s="150">
        <f>IF(Hulpblad!B37=FALSE,0,VLOOKUP(Hulpblad!C19,Hulpblad!B17:N18,13,FALSE))</f>
        <v>0</v>
      </c>
      <c r="J60" s="72"/>
      <c r="K60" s="72"/>
      <c r="L60" s="72"/>
      <c r="M60" s="72"/>
      <c r="N60" s="72"/>
      <c r="O60" s="87">
        <f>M35*I60</f>
        <v>0</v>
      </c>
      <c r="Q60" s="110" t="str">
        <f>IF(AND(O35&gt;0,Hulpblad!E21&lt;4,Hulpblad!B37=TRUE),"U komt niet in aanmerking voor een MKI-bonus omdat de gevelisolatie-maatregel vóór 1 januari 2024 is uitgevoerd.","")</f>
        <v/>
      </c>
    </row>
    <row r="61" spans="1:17" ht="15" customHeight="1">
      <c r="C61" s="26"/>
      <c r="I61" s="72"/>
      <c r="J61" s="72"/>
      <c r="K61" s="72"/>
      <c r="L61" s="72"/>
      <c r="M61" s="72"/>
      <c r="N61" s="72"/>
      <c r="O61" s="72"/>
      <c r="Q61" s="72"/>
    </row>
    <row r="62" spans="1:17" ht="15" customHeight="1">
      <c r="C62" s="26"/>
      <c r="I62" s="150">
        <f>IF(Hulpblad!B38=FALSE,0,VLOOKUP(Hulpblad!C25,Hulpblad!B23:N24,13,FALSE))</f>
        <v>0</v>
      </c>
      <c r="J62" s="72"/>
      <c r="K62" s="72"/>
      <c r="L62" s="72"/>
      <c r="M62" s="72"/>
      <c r="N62" s="72"/>
      <c r="O62" s="87">
        <f>M42*I62</f>
        <v>0</v>
      </c>
      <c r="Q62" s="110" t="str">
        <f>IF(AND(O42&gt;0,Hulpblad!E27&lt;4,Hulpblad!B38=TRUE),"U komt niet in aanmerking voor een MKI-bonus omdat de spouwmuurisolatie-maatregel vóór 1 januari 2024 is uitgevoerd.","")</f>
        <v/>
      </c>
    </row>
    <row r="63" spans="1:17" ht="15" customHeight="1">
      <c r="C63" s="26"/>
      <c r="I63" s="72"/>
      <c r="J63" s="72"/>
      <c r="K63" s="72"/>
      <c r="L63" s="72"/>
      <c r="M63" s="72"/>
      <c r="N63" s="72"/>
      <c r="O63" s="72"/>
      <c r="Q63" s="72"/>
    </row>
    <row r="64" spans="1:17" ht="15" customHeight="1">
      <c r="A64" s="32"/>
      <c r="C64" s="26"/>
      <c r="G64" s="26"/>
      <c r="I64" s="150">
        <f>IF(Hulpblad!B39=FALSE,0,VLOOKUP(Hulpblad!C32,Hulpblad!B29:N31,13,FALSE))</f>
        <v>0</v>
      </c>
      <c r="J64" s="72"/>
      <c r="K64" s="72"/>
      <c r="L64" s="72"/>
      <c r="M64" s="72"/>
      <c r="N64" s="72"/>
      <c r="O64" s="87">
        <f>M49*I64</f>
        <v>0</v>
      </c>
      <c r="Q64" s="110" t="str">
        <f>IF(AND(O49&gt;0,Hulpblad!E33&lt;4,Hulpblad!B39=TRUE),"U komt niet in aanmerking voor een MKI-bonus omdat de vloerisolatie-maatregel vóór 1 januari 2024 is uitgevoerd.","")</f>
        <v/>
      </c>
    </row>
    <row r="65" spans="1:17" ht="15" customHeight="1">
      <c r="A65" s="32"/>
      <c r="C65" s="26"/>
      <c r="G65" s="26"/>
      <c r="Q65" s="72"/>
    </row>
    <row r="66" spans="1:17" ht="15" customHeight="1">
      <c r="A66" s="32"/>
      <c r="C66" s="26"/>
      <c r="G66" s="26"/>
      <c r="Q66" s="72"/>
    </row>
    <row r="67" spans="1:17">
      <c r="A67" s="73" t="s">
        <v>110</v>
      </c>
      <c r="D67" s="33"/>
      <c r="E67" s="33"/>
      <c r="F67" s="33"/>
      <c r="G67" s="33"/>
      <c r="H67" s="33"/>
      <c r="I67" s="34"/>
      <c r="J67" s="34"/>
      <c r="K67" s="26"/>
      <c r="L67" s="26"/>
      <c r="M67" s="26"/>
      <c r="N67" s="26"/>
      <c r="O67" s="26"/>
      <c r="P67" s="26"/>
      <c r="Q67" s="72"/>
    </row>
    <row r="68" spans="1:17" ht="15" customHeight="1">
      <c r="D68" s="33"/>
      <c r="F68" s="33"/>
      <c r="H68" s="33"/>
      <c r="J68" s="34"/>
      <c r="L68" s="26"/>
      <c r="N68" s="26"/>
      <c r="P68" s="26"/>
      <c r="Q68" s="72"/>
    </row>
    <row r="69" spans="1:17" ht="66.75">
      <c r="A69" s="74" t="s">
        <v>109</v>
      </c>
      <c r="D69" s="33"/>
      <c r="E69" s="93" t="s">
        <v>79</v>
      </c>
      <c r="F69" s="33"/>
      <c r="G69" s="93" t="s">
        <v>278</v>
      </c>
      <c r="H69" s="33"/>
      <c r="I69" s="93" t="s">
        <v>273</v>
      </c>
      <c r="J69" s="94"/>
      <c r="K69" s="95" t="s">
        <v>274</v>
      </c>
      <c r="L69" s="75"/>
      <c r="M69" s="96" t="s">
        <v>279</v>
      </c>
      <c r="N69" s="75"/>
      <c r="O69" s="93" t="s">
        <v>276</v>
      </c>
      <c r="P69" s="26"/>
      <c r="Q69" s="72"/>
    </row>
    <row r="70" spans="1:17">
      <c r="D70" s="33"/>
      <c r="E70" s="33"/>
      <c r="F70" s="33"/>
      <c r="G70" s="33"/>
      <c r="H70" s="33"/>
      <c r="I70" s="94"/>
      <c r="J70" s="94"/>
      <c r="K70" s="75"/>
      <c r="L70" s="75"/>
      <c r="M70" s="75"/>
      <c r="N70" s="75"/>
      <c r="O70" s="75"/>
      <c r="P70" s="26"/>
      <c r="Q70" s="72"/>
    </row>
    <row r="71" spans="1:17">
      <c r="D71" s="33"/>
      <c r="E71" s="33"/>
      <c r="F71" s="33"/>
      <c r="G71" s="33"/>
      <c r="H71" s="33"/>
      <c r="I71" s="94"/>
      <c r="J71" s="94"/>
      <c r="K71" s="75"/>
      <c r="L71" s="75"/>
      <c r="M71" s="75"/>
      <c r="N71" s="75"/>
      <c r="O71" s="75"/>
      <c r="P71" s="26"/>
      <c r="Q71" s="72"/>
    </row>
    <row r="72" spans="1:17">
      <c r="A72" s="75" t="str">
        <f>Hulpblad!B47</f>
        <v>Niet van toepassing</v>
      </c>
      <c r="D72" s="33"/>
      <c r="F72" s="33"/>
      <c r="G72" s="171" t="str">
        <f>IF(Hulpblad!B44=1,"","8 - 45")</f>
        <v/>
      </c>
      <c r="H72" s="33"/>
      <c r="I72" s="84">
        <f>Hulpblad!M47</f>
        <v>0</v>
      </c>
      <c r="J72" s="94"/>
      <c r="K72" s="97"/>
      <c r="L72" s="75"/>
      <c r="M72" s="86">
        <f>IF(AND(I72&gt;0,K72&gt;0),MIN(45-M79-M93-M107,K72),0)</f>
        <v>0</v>
      </c>
      <c r="N72" s="75"/>
      <c r="O72" s="87">
        <f>I72*M72</f>
        <v>0</v>
      </c>
      <c r="P72" s="26"/>
      <c r="Q72" s="157" t="str">
        <f>IF(Hulpblad!$B$72="Niet van toepassing","",
IF(Hulpblad!D47="Nee","",
IF(Hulpblad!H47="Niet van toepassing","Vul in wanneer het isolerende glas is aangebracht",
IF(AND(Hulpblad!D47="Ja",K72=0),"Vul in de blauwe cel het aantal m² te isoleren oppervlak in",
IF(AND(Hulpblad!H47="Vóór 2 april 2022 én ≤ 24 maanden geleden",I72=0),"Het subsidiebedrag is € 0,00 omdat u nog maar één type isolatiemaatregel met installatiedatum vóór 2 april 2022 heeft ingevuld. Isolerend glas, panelen en deuren vormen samen één type isolatiemaatregel (techniek).","")))))</f>
        <v/>
      </c>
    </row>
    <row r="73" spans="1:17">
      <c r="A73" s="26"/>
      <c r="D73" s="33"/>
      <c r="E73" s="33"/>
      <c r="F73" s="33"/>
      <c r="G73" s="172"/>
      <c r="H73" s="33"/>
      <c r="I73" s="89"/>
      <c r="J73" s="94"/>
      <c r="K73" s="118"/>
      <c r="L73" s="75"/>
      <c r="M73" s="75"/>
      <c r="N73" s="75"/>
      <c r="O73" s="90"/>
      <c r="P73" s="26"/>
      <c r="Q73" s="157"/>
    </row>
    <row r="74" spans="1:17">
      <c r="A74" s="26"/>
      <c r="D74" s="33"/>
      <c r="E74" s="33"/>
      <c r="F74" s="33"/>
      <c r="G74" s="172"/>
      <c r="H74" s="33"/>
      <c r="I74" s="89"/>
      <c r="J74" s="94"/>
      <c r="K74" s="118"/>
      <c r="L74" s="75"/>
      <c r="M74" s="75"/>
      <c r="N74" s="75"/>
      <c r="O74" s="90"/>
      <c r="P74" s="26"/>
      <c r="Q74" s="157"/>
    </row>
    <row r="75" spans="1:17" ht="15" customHeight="1">
      <c r="A75" s="26"/>
      <c r="D75" s="33"/>
      <c r="E75" s="33"/>
      <c r="F75" s="33"/>
      <c r="G75" s="172"/>
      <c r="H75" s="33"/>
      <c r="I75" s="94"/>
      <c r="J75" s="94"/>
      <c r="K75" s="98"/>
      <c r="L75" s="75"/>
      <c r="M75" s="75"/>
      <c r="N75" s="75"/>
      <c r="O75" s="75"/>
      <c r="P75" s="26"/>
      <c r="Q75" s="157"/>
    </row>
    <row r="76" spans="1:17" ht="15" customHeight="1">
      <c r="A76" s="26"/>
      <c r="D76" s="33"/>
      <c r="E76" s="33"/>
      <c r="F76" s="33"/>
      <c r="G76" s="172"/>
      <c r="H76" s="33"/>
      <c r="I76" s="94"/>
      <c r="J76" s="94"/>
      <c r="K76" s="98"/>
      <c r="L76" s="75"/>
      <c r="M76" s="75"/>
      <c r="N76" s="75"/>
      <c r="O76" s="75"/>
      <c r="P76" s="26"/>
      <c r="Q76" s="111"/>
    </row>
    <row r="77" spans="1:17" ht="15" customHeight="1">
      <c r="A77" s="26"/>
      <c r="D77" s="33"/>
      <c r="E77" s="33"/>
      <c r="F77" s="33"/>
      <c r="G77" s="172"/>
      <c r="H77" s="33"/>
      <c r="I77" s="94"/>
      <c r="J77" s="94"/>
      <c r="K77" s="98"/>
      <c r="L77" s="75"/>
      <c r="M77" s="75"/>
      <c r="N77" s="75"/>
      <c r="O77" s="75"/>
      <c r="P77" s="26"/>
      <c r="Q77" s="111"/>
    </row>
    <row r="78" spans="1:17" ht="15" customHeight="1">
      <c r="A78" s="26"/>
      <c r="D78" s="33"/>
      <c r="E78" s="33"/>
      <c r="F78" s="33"/>
      <c r="G78" s="172"/>
      <c r="H78" s="33"/>
      <c r="I78" s="94"/>
      <c r="J78" s="94"/>
      <c r="K78" s="98"/>
      <c r="L78" s="75"/>
      <c r="M78" s="75"/>
      <c r="N78" s="75"/>
      <c r="O78" s="75"/>
      <c r="P78" s="26"/>
      <c r="Q78" s="111"/>
    </row>
    <row r="79" spans="1:17" ht="15" customHeight="1">
      <c r="A79" s="75" t="str">
        <f>Hulpblad!B51</f>
        <v>Niet van toepassing</v>
      </c>
      <c r="D79" s="33"/>
      <c r="E79" s="33"/>
      <c r="F79" s="33"/>
      <c r="G79" s="172"/>
      <c r="H79" s="33"/>
      <c r="I79" s="84">
        <f>Hulpblad!M51</f>
        <v>0</v>
      </c>
      <c r="J79" s="94"/>
      <c r="K79" s="97"/>
      <c r="L79" s="75"/>
      <c r="M79" s="86">
        <f>IF(AND(I79&gt;0,K79&gt;0),MIN(45,K79),0)</f>
        <v>0</v>
      </c>
      <c r="N79" s="75"/>
      <c r="O79" s="87">
        <f>I79*M79</f>
        <v>0</v>
      </c>
      <c r="P79" s="26"/>
      <c r="Q79" s="157" t="str">
        <f>IF(Hulpblad!$B$72="Niet van toepassing","",
IF(Hulpblad!D51="Nee","",
IF(Hulpblad!H51="Niet van toepassing","Vul in wanneer het isolerende glas is aangebracht",
IF(AND(Hulpblad!D51="Ja",K79=0),"Vul in de blauwe cel het aantal m² te isoleren oppervlak in",
IF(AND(Hulpblad!H51="Vóór 2 april 2022 én ≤ 24 maanden geleden",I79=0),"Het subsidiebedrag is € 0,00 omdat u nog maar één type isolatiemaatregel met installatiedatum vóór 2 april 2022 heeft ingevuld. Isolerend glas, panelen en deuren vormen samen één type isolatiemaatregel (techniek).","")))))</f>
        <v/>
      </c>
    </row>
    <row r="80" spans="1:17" ht="15" customHeight="1">
      <c r="A80" s="26"/>
      <c r="D80" s="33"/>
      <c r="E80" s="33"/>
      <c r="F80" s="33"/>
      <c r="G80" s="172"/>
      <c r="H80" s="33"/>
      <c r="I80" s="94"/>
      <c r="J80" s="94"/>
      <c r="K80" s="98"/>
      <c r="L80" s="75"/>
      <c r="M80" s="75"/>
      <c r="N80" s="75"/>
      <c r="O80" s="75"/>
      <c r="P80" s="26"/>
      <c r="Q80" s="157"/>
    </row>
    <row r="81" spans="1:17">
      <c r="D81" s="33"/>
      <c r="E81" s="33"/>
      <c r="F81" s="33"/>
      <c r="G81" s="172"/>
      <c r="H81" s="33"/>
      <c r="I81" s="72"/>
      <c r="J81" s="72"/>
      <c r="K81" s="72"/>
      <c r="L81" s="72"/>
      <c r="M81" s="72"/>
      <c r="N81" s="72"/>
      <c r="O81" s="72"/>
      <c r="P81" s="26"/>
      <c r="Q81" s="72"/>
    </row>
    <row r="82" spans="1:17" ht="15" customHeight="1">
      <c r="A82" s="26"/>
      <c r="D82" s="33"/>
      <c r="E82" s="33"/>
      <c r="F82" s="33"/>
      <c r="G82" s="172"/>
      <c r="H82" s="33"/>
      <c r="I82" s="94"/>
      <c r="J82" s="94"/>
      <c r="K82" s="98"/>
      <c r="L82" s="75"/>
      <c r="M82" s="75"/>
      <c r="N82" s="75"/>
      <c r="O82" s="75"/>
      <c r="P82" s="26"/>
      <c r="Q82" s="72"/>
    </row>
    <row r="83" spans="1:17" ht="15" customHeight="1">
      <c r="A83" s="26"/>
      <c r="D83" s="33"/>
      <c r="E83" s="33"/>
      <c r="F83" s="33"/>
      <c r="G83" s="172"/>
      <c r="H83" s="33"/>
      <c r="I83" s="94"/>
      <c r="J83" s="94"/>
      <c r="K83" s="98"/>
      <c r="L83" s="75"/>
      <c r="M83" s="75"/>
      <c r="N83" s="75"/>
      <c r="O83" s="75"/>
      <c r="P83" s="26"/>
      <c r="Q83" s="72"/>
    </row>
    <row r="84" spans="1:17" ht="15" customHeight="1">
      <c r="A84" s="26"/>
      <c r="D84" s="33"/>
      <c r="E84" s="33"/>
      <c r="F84" s="33"/>
      <c r="G84" s="172"/>
      <c r="H84" s="33"/>
      <c r="I84" s="94"/>
      <c r="J84" s="94"/>
      <c r="K84" s="98"/>
      <c r="L84" s="75"/>
      <c r="M84" s="75"/>
      <c r="N84" s="75"/>
      <c r="O84" s="75"/>
      <c r="P84" s="26"/>
      <c r="Q84" s="72"/>
    </row>
    <row r="85" spans="1:17" ht="15" customHeight="1">
      <c r="A85" s="26"/>
      <c r="D85" s="33"/>
      <c r="E85" s="33"/>
      <c r="F85" s="33"/>
      <c r="G85" s="172"/>
      <c r="H85" s="33"/>
      <c r="I85" s="94"/>
      <c r="J85" s="94"/>
      <c r="K85" s="98"/>
      <c r="L85" s="75"/>
      <c r="M85" s="75"/>
      <c r="N85" s="75"/>
      <c r="O85" s="75"/>
      <c r="P85" s="26"/>
      <c r="Q85" s="72"/>
    </row>
    <row r="86" spans="1:17" ht="15" customHeight="1">
      <c r="A86" s="170" t="str">
        <f>Hulpblad!B55</f>
        <v>Niet van toepassing</v>
      </c>
      <c r="D86" s="33"/>
      <c r="E86" s="33"/>
      <c r="F86" s="33"/>
      <c r="G86" s="172"/>
      <c r="H86" s="33"/>
      <c r="I86" s="84">
        <f>Hulpblad!M55</f>
        <v>0</v>
      </c>
      <c r="J86" s="94"/>
      <c r="K86" s="97"/>
      <c r="L86" s="75"/>
      <c r="M86" s="86">
        <f>IF(AND(I86&gt;0,K86&gt;0),MIN(45,45-M72-M79-M93-M100-M107,K86),0)</f>
        <v>0</v>
      </c>
      <c r="N86" s="75"/>
      <c r="O86" s="87">
        <f>I86*M86</f>
        <v>0</v>
      </c>
      <c r="P86" s="26"/>
      <c r="Q86" s="157" t="str">
        <f>IF(OR(Hulpblad!$B$72="Niet van toepassing",AND(Hulpblad!D47="Nee",Hulpblad!D51="Nee")),"",
IF(Hulpblad!D55="Nee","",
IF(Hulpblad!H55="Niet van toepassing","Vul in wanneer de isolerende panelen zijn aangebracht",
IF(AND(Hulpblad!D55="Ja",K86=0),"Vul in de blauwe cel het aantal m² te isoleren oppervlak in",
IF(AND(Hulpblad!H55="Vóór 2 april 2022 én ≤ 24 maanden geleden",I86=0),"Het subsidiebedrag is € 0,00 omdat u nog maar één type isolatiemaatregel met installatiedatum vóór 2 april 2022 heeft ingevuld. Isolerend glas, panelen en deuren vormen samen één type isolatiemaatregel (techniek).","")))))</f>
        <v/>
      </c>
    </row>
    <row r="87" spans="1:17" ht="15" customHeight="1">
      <c r="A87" s="161"/>
      <c r="D87" s="33"/>
      <c r="E87" s="33"/>
      <c r="F87" s="33"/>
      <c r="G87" s="172"/>
      <c r="H87" s="33"/>
      <c r="I87" s="94"/>
      <c r="J87" s="94"/>
      <c r="K87" s="98"/>
      <c r="L87" s="75"/>
      <c r="M87" s="75"/>
      <c r="N87" s="75"/>
      <c r="O87" s="75"/>
      <c r="P87" s="26"/>
      <c r="Q87" s="157"/>
    </row>
    <row r="88" spans="1:17">
      <c r="D88" s="33"/>
      <c r="E88" s="33"/>
      <c r="F88" s="33"/>
      <c r="G88" s="172"/>
      <c r="H88" s="33"/>
      <c r="I88" s="72"/>
      <c r="J88" s="72"/>
      <c r="K88" s="72"/>
      <c r="L88" s="72"/>
      <c r="M88" s="72"/>
      <c r="N88" s="72"/>
      <c r="O88" s="72"/>
      <c r="P88" s="26"/>
      <c r="Q88" s="72"/>
    </row>
    <row r="89" spans="1:17" ht="15" customHeight="1">
      <c r="A89" s="26"/>
      <c r="D89" s="33"/>
      <c r="E89" s="33"/>
      <c r="F89" s="33"/>
      <c r="G89" s="172"/>
      <c r="H89" s="33"/>
      <c r="I89" s="94"/>
      <c r="J89" s="94"/>
      <c r="K89" s="98"/>
      <c r="L89" s="75"/>
      <c r="M89" s="75"/>
      <c r="N89" s="75"/>
      <c r="O89" s="75"/>
      <c r="P89" s="26"/>
      <c r="Q89" s="72"/>
    </row>
    <row r="90" spans="1:17" ht="15" customHeight="1">
      <c r="A90" s="26"/>
      <c r="D90" s="33"/>
      <c r="E90" s="33"/>
      <c r="F90" s="33"/>
      <c r="G90" s="172"/>
      <c r="H90" s="33"/>
      <c r="I90" s="94"/>
      <c r="J90" s="94"/>
      <c r="K90" s="98"/>
      <c r="L90" s="75"/>
      <c r="M90" s="75"/>
      <c r="N90" s="75"/>
      <c r="O90" s="75"/>
      <c r="P90" s="26"/>
      <c r="Q90" s="72"/>
    </row>
    <row r="91" spans="1:17" ht="15" customHeight="1">
      <c r="A91" s="26"/>
      <c r="D91" s="33"/>
      <c r="E91" s="33"/>
      <c r="F91" s="33"/>
      <c r="G91" s="172"/>
      <c r="H91" s="33"/>
      <c r="I91" s="94"/>
      <c r="J91" s="94"/>
      <c r="K91" s="98"/>
      <c r="L91" s="75"/>
      <c r="M91" s="75"/>
      <c r="N91" s="75"/>
      <c r="O91" s="75"/>
      <c r="P91" s="26"/>
      <c r="Q91" s="72"/>
    </row>
    <row r="92" spans="1:17" ht="15" customHeight="1">
      <c r="A92" s="26"/>
      <c r="D92" s="33"/>
      <c r="E92" s="33"/>
      <c r="F92" s="33"/>
      <c r="G92" s="172"/>
      <c r="H92" s="33"/>
      <c r="I92" s="94"/>
      <c r="J92" s="94"/>
      <c r="K92" s="98"/>
      <c r="L92" s="75"/>
      <c r="M92" s="75"/>
      <c r="N92" s="75"/>
      <c r="O92" s="75"/>
      <c r="P92" s="26"/>
      <c r="Q92" s="72"/>
    </row>
    <row r="93" spans="1:17" ht="15" customHeight="1">
      <c r="A93" s="170" t="str">
        <f>Hulpblad!B59</f>
        <v>Niet van toepassing</v>
      </c>
      <c r="D93" s="33"/>
      <c r="E93" s="33"/>
      <c r="F93" s="33"/>
      <c r="G93" s="172"/>
      <c r="H93" s="33"/>
      <c r="I93" s="84">
        <f>Hulpblad!M59</f>
        <v>0</v>
      </c>
      <c r="J93" s="94"/>
      <c r="K93" s="97"/>
      <c r="L93" s="75"/>
      <c r="M93" s="86">
        <f>IF(AND(I93&gt;0,K93&gt;0),MIN(45,45-M79-M107,K93),0)</f>
        <v>0</v>
      </c>
      <c r="N93" s="75"/>
      <c r="O93" s="87">
        <f>I93*M93</f>
        <v>0</v>
      </c>
      <c r="P93" s="26"/>
      <c r="Q93" s="157" t="str">
        <f>IF(OR(Hulpblad!$B$72="Niet van toepassing",AND(Hulpblad!D47="Nee",Hulpblad!D51="Nee")),"",
IF(Hulpblad!D59="Nee","",
IF(Hulpblad!H59="Niet van toepassing","Vul in wanneer de isolerende panelen zijn aangebracht",
IF(AND(Hulpblad!D59="Ja",K93=0),"Vul in de blauwe cel het aantal m² te isoleren oppervlak in",
IF(AND(Hulpblad!H59="Vóór 2 april 2022 én ≤ 24 maanden geleden",I93=0),"Het subsidiebedrag is € 0,00 omdat u nog maar één type isolatiemaatregel met installatiedatum vóór 2 april 2022 heeft ingevuld. Isolerend glas, panelen en deuren vormen samen één type isolatiemaatregel (techniek).","")))))</f>
        <v/>
      </c>
    </row>
    <row r="94" spans="1:17" ht="15" customHeight="1">
      <c r="A94" s="161"/>
      <c r="D94" s="33"/>
      <c r="E94" s="33"/>
      <c r="F94" s="33"/>
      <c r="G94" s="172"/>
      <c r="H94" s="33"/>
      <c r="I94" s="94"/>
      <c r="J94" s="94"/>
      <c r="K94" s="98"/>
      <c r="L94" s="75"/>
      <c r="M94" s="75"/>
      <c r="N94" s="75"/>
      <c r="O94" s="75"/>
      <c r="P94" s="26"/>
      <c r="Q94" s="157"/>
    </row>
    <row r="95" spans="1:17">
      <c r="D95" s="33"/>
      <c r="E95" s="33"/>
      <c r="F95" s="33"/>
      <c r="G95" s="172"/>
      <c r="H95" s="33"/>
      <c r="I95" s="72"/>
      <c r="J95" s="72"/>
      <c r="K95" s="72"/>
      <c r="L95" s="72"/>
      <c r="M95" s="72"/>
      <c r="N95" s="72"/>
      <c r="O95" s="72"/>
      <c r="P95" s="26"/>
      <c r="Q95" s="72"/>
    </row>
    <row r="96" spans="1:17" ht="15" customHeight="1">
      <c r="A96" s="26"/>
      <c r="D96" s="33"/>
      <c r="E96" s="33"/>
      <c r="F96" s="33"/>
      <c r="G96" s="172"/>
      <c r="H96" s="33"/>
      <c r="I96" s="94"/>
      <c r="J96" s="94"/>
      <c r="K96" s="98"/>
      <c r="L96" s="75"/>
      <c r="M96" s="75"/>
      <c r="N96" s="75"/>
      <c r="O96" s="75"/>
      <c r="P96" s="26"/>
      <c r="Q96" s="72"/>
    </row>
    <row r="97" spans="1:17" ht="15" customHeight="1">
      <c r="A97" s="26"/>
      <c r="D97" s="33"/>
      <c r="E97" s="33"/>
      <c r="F97" s="33"/>
      <c r="G97" s="172"/>
      <c r="H97" s="33"/>
      <c r="I97" s="94"/>
      <c r="J97" s="94"/>
      <c r="K97" s="98"/>
      <c r="L97" s="75"/>
      <c r="M97" s="75"/>
      <c r="N97" s="75"/>
      <c r="O97" s="75"/>
      <c r="P97" s="26"/>
      <c r="Q97" s="72"/>
    </row>
    <row r="98" spans="1:17" ht="15" customHeight="1">
      <c r="A98" s="26"/>
      <c r="D98" s="33"/>
      <c r="E98" s="33"/>
      <c r="F98" s="33"/>
      <c r="G98" s="172"/>
      <c r="H98" s="33"/>
      <c r="I98" s="94"/>
      <c r="J98" s="94"/>
      <c r="K98" s="98"/>
      <c r="L98" s="75"/>
      <c r="M98" s="75"/>
      <c r="N98" s="75"/>
      <c r="O98" s="75"/>
      <c r="P98" s="26"/>
      <c r="Q98" s="72"/>
    </row>
    <row r="99" spans="1:17" ht="15" customHeight="1">
      <c r="A99" s="26"/>
      <c r="D99" s="33"/>
      <c r="E99" s="33"/>
      <c r="F99" s="33"/>
      <c r="G99" s="172"/>
      <c r="H99" s="33"/>
      <c r="I99" s="94"/>
      <c r="J99" s="94"/>
      <c r="K99" s="98"/>
      <c r="L99" s="75"/>
      <c r="M99" s="75"/>
      <c r="N99" s="75"/>
      <c r="O99" s="75"/>
      <c r="P99" s="26"/>
      <c r="Q99" s="72"/>
    </row>
    <row r="100" spans="1:17" ht="15" customHeight="1">
      <c r="A100" s="170" t="str">
        <f>Hulpblad!B63</f>
        <v>Niet van toepassing</v>
      </c>
      <c r="D100" s="33"/>
      <c r="E100" s="33"/>
      <c r="F100" s="33"/>
      <c r="G100" s="172"/>
      <c r="H100" s="33"/>
      <c r="I100" s="84">
        <f>Hulpblad!M63</f>
        <v>0</v>
      </c>
      <c r="J100" s="94"/>
      <c r="K100" s="97"/>
      <c r="L100" s="75"/>
      <c r="M100" s="86">
        <f>IF(AND(I100&gt;0,K100&gt;0),MIN(45,45-M72-M79-M93-M107,K100),0)</f>
        <v>0</v>
      </c>
      <c r="N100" s="75"/>
      <c r="O100" s="87">
        <f>I100*M100</f>
        <v>0</v>
      </c>
      <c r="P100" s="26"/>
      <c r="Q100" s="157" t="str">
        <f>IF(OR(Hulpblad!$B$72="Niet van toepassing",AND(Hulpblad!D47="Nee",Hulpblad!D51="Nee")),"",
IF(Hulpblad!D63="Nee","",
IF(Hulpblad!H63="Niet van toepassing","Vul in wanneer de isolerende deuren zijn aangebracht",
IF(AND(Hulpblad!D63="Ja",K100=0),"Vul in de blauwe cel het aantal m² te isoleren oppervlak in",
IF(AND(Hulpblad!H63="Vóór 2 april 2022 én ≤ 24 maanden geleden",I100=0),"Het subsidiebedrag is € 0,00 omdat u nog maar één type isolatiemaatregel met installatiedatum vóór 2 april 2022 heeft ingevuld. Isolerend glas, panelen en deuren vormen samen één type isolatiemaatregel (techniek).","")))))</f>
        <v/>
      </c>
    </row>
    <row r="101" spans="1:17" ht="15" customHeight="1">
      <c r="A101" s="161"/>
      <c r="D101" s="33"/>
      <c r="E101" s="33"/>
      <c r="F101" s="33"/>
      <c r="G101" s="172"/>
      <c r="H101" s="33"/>
      <c r="I101" s="94"/>
      <c r="J101" s="94"/>
      <c r="K101" s="98"/>
      <c r="L101" s="75"/>
      <c r="M101" s="75"/>
      <c r="N101" s="75"/>
      <c r="O101" s="75"/>
      <c r="P101" s="26"/>
      <c r="Q101" s="157"/>
    </row>
    <row r="102" spans="1:17">
      <c r="D102" s="33"/>
      <c r="E102" s="33"/>
      <c r="F102" s="33"/>
      <c r="G102" s="172"/>
      <c r="H102" s="33"/>
      <c r="I102" s="72"/>
      <c r="J102" s="72"/>
      <c r="K102" s="72"/>
      <c r="L102" s="72"/>
      <c r="M102" s="72"/>
      <c r="N102" s="72"/>
      <c r="O102" s="72"/>
      <c r="P102" s="26"/>
      <c r="Q102" s="72"/>
    </row>
    <row r="103" spans="1:17" ht="15" customHeight="1">
      <c r="A103" s="26"/>
      <c r="D103" s="33"/>
      <c r="E103" s="33"/>
      <c r="F103" s="33"/>
      <c r="G103" s="172"/>
      <c r="H103" s="33"/>
      <c r="I103" s="94"/>
      <c r="J103" s="94"/>
      <c r="K103" s="98"/>
      <c r="L103" s="75"/>
      <c r="M103" s="75"/>
      <c r="N103" s="75"/>
      <c r="O103" s="75"/>
      <c r="P103" s="26"/>
      <c r="Q103" s="72"/>
    </row>
    <row r="104" spans="1:17" ht="15" customHeight="1">
      <c r="A104" s="26"/>
      <c r="D104" s="33"/>
      <c r="E104" s="33"/>
      <c r="F104" s="33"/>
      <c r="G104" s="172"/>
      <c r="H104" s="33"/>
      <c r="I104" s="94"/>
      <c r="J104" s="94"/>
      <c r="K104" s="98"/>
      <c r="L104" s="75"/>
      <c r="M104" s="75"/>
      <c r="N104" s="75"/>
      <c r="O104" s="75"/>
      <c r="P104" s="26"/>
      <c r="Q104" s="72"/>
    </row>
    <row r="105" spans="1:17" ht="15" customHeight="1">
      <c r="A105" s="26"/>
      <c r="D105" s="33"/>
      <c r="E105" s="33"/>
      <c r="F105" s="33"/>
      <c r="G105" s="172"/>
      <c r="H105" s="33"/>
      <c r="I105" s="94"/>
      <c r="J105" s="94"/>
      <c r="K105" s="98"/>
      <c r="L105" s="75"/>
      <c r="M105" s="75"/>
      <c r="N105" s="75"/>
      <c r="O105" s="75"/>
      <c r="P105" s="26"/>
      <c r="Q105" s="72"/>
    </row>
    <row r="106" spans="1:17" ht="15" customHeight="1">
      <c r="A106" s="26"/>
      <c r="D106" s="33"/>
      <c r="E106" s="33"/>
      <c r="F106" s="33"/>
      <c r="G106" s="172"/>
      <c r="H106" s="33"/>
      <c r="I106" s="94"/>
      <c r="J106" s="94"/>
      <c r="K106" s="98"/>
      <c r="L106" s="75"/>
      <c r="M106" s="75"/>
      <c r="N106" s="75"/>
      <c r="O106" s="75"/>
      <c r="P106" s="26"/>
      <c r="Q106" s="72"/>
    </row>
    <row r="107" spans="1:17" ht="15" customHeight="1">
      <c r="A107" s="170" t="str">
        <f>Hulpblad!B67</f>
        <v>Niet van toepassing</v>
      </c>
      <c r="D107" s="33"/>
      <c r="E107" s="33"/>
      <c r="F107" s="33"/>
      <c r="G107" s="173"/>
      <c r="H107" s="33"/>
      <c r="I107" s="84">
        <f>Hulpblad!M67</f>
        <v>0</v>
      </c>
      <c r="J107" s="75"/>
      <c r="K107" s="97"/>
      <c r="L107" s="75"/>
      <c r="M107" s="86">
        <f>IF(AND(I107&gt;0,K107&gt;0),MIN(45,45-M79,K107),0)</f>
        <v>0</v>
      </c>
      <c r="N107" s="75"/>
      <c r="O107" s="87">
        <f>I107*M107</f>
        <v>0</v>
      </c>
      <c r="P107" s="26"/>
      <c r="Q107" s="157" t="str">
        <f>IF(OR(Hulpblad!$B$72="Niet van toepassing",AND(Hulpblad!D47="Nee",Hulpblad!D51="Nee")),"",
IF(Hulpblad!D67="Nee","",
IF(Hulpblad!H67="Niet van toepassing","Vul in wanneer de isolerende deuren zijn aangebracht",
IF(AND(Hulpblad!D67="Ja",K107=0),"Vul in de blauwe cel het aantal m² te isoleren oppervlak in",
IF(AND(Hulpblad!H67="Vóór 2 april 2022 én ≤ 24 maanden geleden",I107=0),"Het subsidiebedrag is € 0,00 omdat u nog maar één type isolatiemaatregel met installatiedatum vóór 2 april 2022 heeft ingevuld. Isolerend glas, panelen en deuren vormen samen één type isolatiemaatregel (techniek).","")))))</f>
        <v/>
      </c>
    </row>
    <row r="108" spans="1:17" ht="15" customHeight="1">
      <c r="A108" s="161"/>
      <c r="D108" s="33"/>
      <c r="E108" s="33"/>
      <c r="F108" s="33"/>
      <c r="G108" s="148"/>
      <c r="H108" s="33"/>
      <c r="I108" s="94"/>
      <c r="J108" s="94"/>
      <c r="K108" s="98"/>
      <c r="L108" s="75"/>
      <c r="M108" s="75"/>
      <c r="N108" s="75"/>
      <c r="O108" s="75"/>
      <c r="P108" s="26"/>
      <c r="Q108" s="157"/>
    </row>
    <row r="109" spans="1:17" ht="15" customHeight="1">
      <c r="A109" s="26"/>
      <c r="D109" s="33"/>
      <c r="E109" s="33"/>
      <c r="F109" s="33"/>
      <c r="G109" s="148"/>
      <c r="H109" s="33"/>
      <c r="I109" s="94"/>
      <c r="J109" s="94"/>
      <c r="K109" s="98"/>
      <c r="L109" s="75"/>
      <c r="M109" s="75"/>
      <c r="N109" s="75"/>
      <c r="O109" s="75"/>
      <c r="P109" s="26"/>
      <c r="Q109" s="111"/>
    </row>
    <row r="110" spans="1:17">
      <c r="E110" s="33"/>
      <c r="G110" s="148"/>
      <c r="I110" s="72"/>
      <c r="J110" s="72"/>
      <c r="K110" s="72"/>
      <c r="L110" s="72"/>
      <c r="M110" s="72"/>
      <c r="N110" s="72"/>
      <c r="O110" s="72"/>
      <c r="P110" s="26"/>
      <c r="Q110" s="72"/>
    </row>
    <row r="111" spans="1:17">
      <c r="A111" s="26"/>
      <c r="E111" s="33"/>
      <c r="G111" s="149"/>
      <c r="I111" s="75"/>
      <c r="J111" s="75"/>
      <c r="K111" s="75"/>
      <c r="L111" s="75"/>
      <c r="M111" s="75"/>
      <c r="N111" s="75"/>
      <c r="O111" s="75"/>
      <c r="P111" s="26"/>
      <c r="Q111" s="72"/>
    </row>
    <row r="112" spans="1:17">
      <c r="A112" s="26"/>
      <c r="E112" s="33"/>
      <c r="G112" s="119"/>
      <c r="I112" s="75"/>
      <c r="J112" s="75"/>
      <c r="K112" s="75"/>
      <c r="L112" s="75"/>
      <c r="M112" s="75"/>
      <c r="N112" s="75"/>
      <c r="O112" s="75"/>
      <c r="P112" s="26"/>
      <c r="Q112" s="72"/>
    </row>
    <row r="113" spans="1:17" ht="15.75">
      <c r="A113" s="26"/>
      <c r="H113" s="35"/>
      <c r="I113" s="99" t="s">
        <v>280</v>
      </c>
      <c r="J113" s="100"/>
      <c r="K113" s="86">
        <f>K72+K79+K86+K93+K100+K107</f>
        <v>0</v>
      </c>
      <c r="L113" s="72"/>
      <c r="M113" s="86">
        <f>IF(K113&lt;8,0,M72+M79+M86+M93+M100+M107)</f>
        <v>0</v>
      </c>
      <c r="N113" s="75"/>
      <c r="O113" s="75"/>
      <c r="P113" s="26"/>
      <c r="Q113" s="157" t="str">
        <f>IF(AND(M113&lt;45,M113&gt;8),"",IF(AND(K113&gt;45,M113=45),"Er komt maximaal 45 m²  oppervlak aan glas, panelen en deuren in aanmerking voor subsidie! Het aantal m²  is per maatregel afgetopt van hoog naar laag bedrag per m²!",
IF(AND(M113&lt; 8,Hulpblad!C44="HR++ glas, U ≤ 1,2 W/m2K en/of Triple glas, U ≤ 0,7 W/m2K"),"Er is te weinig subsidiabel oppervlak aan glas, panelen en deuren om in aanmerking te komen voor subsidie!","")))</f>
        <v/>
      </c>
    </row>
    <row r="114" spans="1:17" ht="15" customHeight="1">
      <c r="I114" s="72"/>
      <c r="J114" s="72"/>
      <c r="K114" s="72"/>
      <c r="L114" s="72"/>
      <c r="M114" s="72"/>
      <c r="N114" s="72"/>
      <c r="O114" s="72"/>
      <c r="Q114" s="161"/>
    </row>
    <row r="115" spans="1:17">
      <c r="H115" s="35"/>
      <c r="I115" s="101"/>
      <c r="J115" s="100"/>
      <c r="K115" s="102" t="s">
        <v>313</v>
      </c>
      <c r="L115" s="72"/>
      <c r="M115" s="72"/>
      <c r="N115" s="72"/>
      <c r="O115" s="87">
        <f>IF(K113&lt;8,0,O72+O79+O86+O93+O100+O107)</f>
        <v>0</v>
      </c>
      <c r="Q115" s="111"/>
    </row>
    <row r="116" spans="1:17" ht="23.25">
      <c r="A116" s="104" t="s">
        <v>107</v>
      </c>
      <c r="B116" s="36"/>
      <c r="I116" s="72"/>
      <c r="J116" s="72"/>
      <c r="K116" s="72"/>
      <c r="L116" s="72"/>
      <c r="M116" s="72"/>
      <c r="N116" s="72"/>
      <c r="O116" s="72"/>
      <c r="Q116" s="73"/>
    </row>
    <row r="117" spans="1:17" ht="15" customHeight="1">
      <c r="A117" s="36"/>
      <c r="B117" s="36"/>
      <c r="Q117" s="73"/>
    </row>
    <row r="118" spans="1:17" ht="15" customHeight="1">
      <c r="A118" s="36"/>
      <c r="B118" s="36"/>
      <c r="Q118" s="72"/>
    </row>
    <row r="119" spans="1:17">
      <c r="Q119" s="112"/>
    </row>
    <row r="120" spans="1:17">
      <c r="A120" s="72" t="s">
        <v>45</v>
      </c>
      <c r="C120" s="26"/>
      <c r="G120" s="103" t="s">
        <v>281</v>
      </c>
      <c r="H120" s="25"/>
      <c r="I120" s="25"/>
      <c r="J120" s="25"/>
      <c r="O120" s="27">
        <f>IF(OR(Hulpblad!C104="Geen warmtepomp",Hulpblad!C118="Niet van toepassing"),0,
IF(AND(Hulpblad!C112="Niet van toepassing",OR(Hulpblad!B104=2,Hulpblad!B104=3,Hulpblad!B104=5,Hulpblad!B104=6,Hulpblad!B104=7,Hulpblad!B104=9,Hulpblad!B104=10,Hulpblad!B104=11)),0,
IF(E142="",VLOOKUP(Hulpblad!C120,Hulpblad!C182:F301,4,FALSE))+IF(E142="",IF(C142=0,0,VLOOKUP(Hulpblad!C120,Hulpblad!C182:G301,5,FALSE)*(C142-Hulpblad!C123)),0)))</f>
        <v>0</v>
      </c>
      <c r="Q120" s="110" t="str">
        <f>IF(OR(Hulpblad!C104="Geen Warmtepomp",Hulpblad!C112="Niet van toepassing",Hulpblad!C118="Niet van toepassing"),"",IF(O120=0,VLOOKUP(Hulpblad!C120,Hulpblad!C182:'Hulpblad'!I301,7,FALSE),""))</f>
        <v/>
      </c>
    </row>
    <row r="121" spans="1:17">
      <c r="C121" s="26"/>
      <c r="Q121" s="73"/>
    </row>
    <row r="122" spans="1:17">
      <c r="C122" s="26"/>
      <c r="O122" s="60"/>
      <c r="Q122" s="113"/>
    </row>
    <row r="123" spans="1:17">
      <c r="C123" s="26"/>
      <c r="Q123" s="72"/>
    </row>
    <row r="124" spans="1:17">
      <c r="C124" s="26"/>
      <c r="Q124" s="72"/>
    </row>
    <row r="125" spans="1:17">
      <c r="C125" s="26"/>
      <c r="Q125" s="72"/>
    </row>
    <row r="126" spans="1:17" ht="15" customHeight="1">
      <c r="C126" s="26"/>
      <c r="Q126" s="72"/>
    </row>
    <row r="127" spans="1:17" ht="15" customHeight="1">
      <c r="C127" s="26"/>
      <c r="O127" s="61"/>
      <c r="Q127" s="72"/>
    </row>
    <row r="128" spans="1:17">
      <c r="C128" s="26"/>
      <c r="L128" s="24"/>
      <c r="Q128" s="72"/>
    </row>
    <row r="129" spans="1:17">
      <c r="C129" s="26"/>
      <c r="Q129" s="72"/>
    </row>
    <row r="130" spans="1:17">
      <c r="C130" s="26"/>
      <c r="Q130" s="72"/>
    </row>
    <row r="131" spans="1:17">
      <c r="C131" s="26"/>
      <c r="Q131" s="72"/>
    </row>
    <row r="132" spans="1:17">
      <c r="C132" s="26"/>
      <c r="Q132" s="72"/>
    </row>
    <row r="133" spans="1:17">
      <c r="C133" s="26"/>
    </row>
    <row r="134" spans="1:17">
      <c r="C134" s="26"/>
    </row>
    <row r="135" spans="1:17">
      <c r="A135" s="72" t="str">
        <f>IF(C120="Geen warmtepomp","","Kies energie-efficiency klasse:")</f>
        <v>Kies energie-efficiency klasse:</v>
      </c>
      <c r="C135" s="26"/>
    </row>
    <row r="136" spans="1:17">
      <c r="C136" s="26"/>
    </row>
    <row r="137" spans="1:17">
      <c r="C137" s="26"/>
    </row>
    <row r="138" spans="1:17">
      <c r="C138" s="26"/>
    </row>
    <row r="139" spans="1:17">
      <c r="C139" s="26"/>
    </row>
    <row r="140" spans="1:17">
      <c r="C140" s="26"/>
      <c r="E140" s="24" t="str">
        <f>IF(AND(Hulpblad!B112=1,OR(Hulpblad!B104=1,Hulpblad!B104=4,Hulpblad!B104=8,Hulpblad!B104=12)),"",
IF(AND(Hulpblad!B104&gt;1,Hulpblad!B112=1),"U moet nog een energie-efficiencyklasse invullen!",""))</f>
        <v/>
      </c>
    </row>
    <row r="142" spans="1:17">
      <c r="A142" s="18" t="str">
        <f>IF(VLOOKUP(Hulpblad!C104,Hulpblad!B92:C103,2,FALSE)&gt;0,"Kies vermogen (kW):","")</f>
        <v/>
      </c>
      <c r="C142" s="63"/>
      <c r="E142" s="24" t="str">
        <f>IF(A142="","",IF(OR(C142=0,C142&lt;Hulpblad!C123,C142&gt;Hulpblad!C124),"U moet een geheel aantal kW vermogen tussen "&amp;Hulpblad!C123&amp;" kW - "&amp;Hulpblad!C124&amp;" kW  invullen!",""))</f>
        <v/>
      </c>
      <c r="H142" s="37"/>
      <c r="I142" s="37"/>
      <c r="J142" s="37"/>
      <c r="L142" s="37"/>
      <c r="M142" s="37"/>
      <c r="N142" s="37"/>
    </row>
    <row r="143" spans="1:17" ht="15" customHeight="1">
      <c r="A143" s="26"/>
      <c r="B143" s="25"/>
      <c r="C143" s="26"/>
    </row>
    <row r="144" spans="1:17" ht="23.25">
      <c r="A144" s="104" t="s">
        <v>108</v>
      </c>
      <c r="B144" s="36"/>
      <c r="C144" s="26"/>
    </row>
    <row r="145" spans="1:17" ht="23.25">
      <c r="A145" s="36"/>
      <c r="B145" s="36"/>
      <c r="C145" s="26"/>
    </row>
    <row r="146" spans="1:17" ht="15" customHeight="1">
      <c r="A146" s="36"/>
      <c r="B146" s="36"/>
      <c r="C146" s="26"/>
    </row>
    <row r="147" spans="1:17" ht="15" customHeight="1">
      <c r="A147" s="72" t="s">
        <v>46</v>
      </c>
      <c r="C147" s="26"/>
      <c r="E147" s="37"/>
      <c r="G147" s="103" t="s">
        <v>284</v>
      </c>
      <c r="H147" s="25"/>
      <c r="I147" s="25"/>
      <c r="J147" s="25"/>
      <c r="O147" s="27">
        <f>IF(OR(Hulpblad!C132="Geen zonneboiler",Hulpblad!C138="Niet van toepassing"),0,VLOOKUP(Hulpblad!C140,Hulpblad!C304:D312,2,FALSE))</f>
        <v>0</v>
      </c>
      <c r="Q147" s="153" t="str">
        <f>IF(O147&gt;0,"Dit subsidiebedrag is indicatief, raadpleeg de ISDE-apparatenlijst zonneboilers voor het exacte bedrag.","")</f>
        <v/>
      </c>
    </row>
    <row r="148" spans="1:17" ht="15" customHeight="1">
      <c r="B148" s="25"/>
      <c r="C148" s="26"/>
      <c r="E148" s="37"/>
      <c r="G148" s="72"/>
      <c r="Q148" s="154"/>
    </row>
    <row r="149" spans="1:17" ht="15" customHeight="1">
      <c r="A149" s="36"/>
      <c r="B149" s="36"/>
      <c r="C149" s="26"/>
      <c r="E149" s="37"/>
      <c r="G149" s="113"/>
      <c r="Q149" s="38"/>
    </row>
    <row r="150" spans="1:17" ht="15" customHeight="1">
      <c r="A150" s="36"/>
      <c r="B150" s="36"/>
      <c r="C150" s="26"/>
      <c r="E150" s="37"/>
      <c r="Q150" s="67"/>
    </row>
    <row r="151" spans="1:17" ht="15" customHeight="1">
      <c r="A151" s="36"/>
      <c r="B151" s="36"/>
      <c r="C151" s="26"/>
      <c r="Q151" s="67"/>
    </row>
    <row r="152" spans="1:17" ht="15" customHeight="1">
      <c r="A152" s="36"/>
      <c r="B152" s="36"/>
      <c r="C152" s="26"/>
      <c r="Q152" s="67"/>
    </row>
    <row r="153" spans="1:17" ht="15" customHeight="1"/>
    <row r="154" spans="1:17" ht="15" customHeight="1"/>
    <row r="155" spans="1:17" ht="15" customHeight="1"/>
    <row r="156" spans="1:17" ht="23.25">
      <c r="A156" s="104" t="s">
        <v>106</v>
      </c>
      <c r="B156" s="36"/>
    </row>
    <row r="157" spans="1:17" ht="23.25">
      <c r="A157" s="36"/>
      <c r="B157" s="36"/>
    </row>
    <row r="158" spans="1:17" ht="15" customHeight="1"/>
    <row r="159" spans="1:17">
      <c r="A159" s="152" t="s">
        <v>116</v>
      </c>
      <c r="B159" s="67"/>
      <c r="C159" s="26"/>
      <c r="D159" s="39"/>
      <c r="E159" s="39"/>
      <c r="G159" s="103" t="s">
        <v>283</v>
      </c>
      <c r="H159" s="25"/>
      <c r="I159" s="25"/>
      <c r="J159" s="25"/>
      <c r="O159" s="27">
        <f>IF(OR(Hulpblad!C145="Geen aansluiting op een warmtenet",Hulpblad!C150="Niet van toepassing"),0,VLOOKUP(Hulpblad!C152,Hulpblad!C315:D317,2,FALSE))</f>
        <v>0</v>
      </c>
      <c r="Q159" s="151" t="str">
        <f>IF(O159&gt;0,"Dit subsidiebedrag is inclusief een bijdrage voor een elektrische kookvoorziening.","")</f>
        <v/>
      </c>
    </row>
    <row r="160" spans="1:17">
      <c r="A160" s="152"/>
      <c r="B160" s="67"/>
      <c r="C160" s="26"/>
      <c r="D160" s="39"/>
      <c r="E160" s="39"/>
      <c r="O160" s="26"/>
      <c r="Q160" s="152"/>
    </row>
    <row r="161" spans="1:17">
      <c r="A161" s="65"/>
      <c r="B161" s="67"/>
      <c r="C161" s="26"/>
      <c r="D161" s="39"/>
      <c r="E161" s="39"/>
      <c r="O161" s="26"/>
      <c r="Q161" s="65"/>
    </row>
    <row r="162" spans="1:17">
      <c r="A162" s="65"/>
      <c r="B162" s="67"/>
      <c r="C162" s="26"/>
      <c r="D162" s="39"/>
      <c r="E162" s="39"/>
      <c r="O162" s="26"/>
      <c r="Q162" s="65"/>
    </row>
    <row r="163" spans="1:17" ht="15" customHeight="1">
      <c r="A163" s="67"/>
      <c r="B163" s="67"/>
      <c r="C163" s="26"/>
      <c r="D163" s="39"/>
      <c r="E163" s="39"/>
      <c r="O163" s="26"/>
    </row>
    <row r="164" spans="1:17" ht="30.75" customHeight="1">
      <c r="A164" s="104" t="s">
        <v>117</v>
      </c>
      <c r="B164" s="67"/>
      <c r="C164" s="26"/>
      <c r="D164" s="18" t="s">
        <v>112</v>
      </c>
      <c r="E164" s="67"/>
      <c r="O164" s="26"/>
    </row>
    <row r="165" spans="1:17" ht="30.75" customHeight="1">
      <c r="A165" s="36"/>
      <c r="B165" s="67"/>
      <c r="C165" s="26"/>
      <c r="E165" s="67"/>
      <c r="O165" s="26"/>
    </row>
    <row r="166" spans="1:17" ht="45" customHeight="1">
      <c r="A166" s="105" t="str">
        <f>IF(O159&gt;0,"U komt niet in aanmerking voor een aparte subsidie voor de elektrische kookvoorziening, omdat deze al bij de aansluiting op een warmtenet is inbegrepen.","Wilt u een elektrische kookvoorziening aanschaffen?")</f>
        <v>Wilt u een elektrische kookvoorziening aanschaffen?</v>
      </c>
      <c r="B166" s="67"/>
      <c r="C166" s="26"/>
      <c r="E166" s="42"/>
      <c r="O166" s="26"/>
    </row>
    <row r="167" spans="1:17" ht="15" customHeight="1">
      <c r="A167" s="106"/>
      <c r="B167" s="67"/>
      <c r="C167" s="26"/>
      <c r="O167" s="26"/>
    </row>
    <row r="168" spans="1:17" ht="15" customHeight="1">
      <c r="A168" s="106"/>
      <c r="B168" s="67"/>
      <c r="C168" s="26"/>
      <c r="O168" s="26"/>
    </row>
    <row r="169" spans="1:17" ht="30" customHeight="1">
      <c r="A169" s="105" t="str">
        <f>IF(AND(Hulpblad!C158="Ja",A166="Wilt u een elektrische kookvoorziening aanschaffen?"),"Is uw woning aangesloten op een warmtenet?","Niet van toepassing!")</f>
        <v>Niet van toepassing!</v>
      </c>
      <c r="B169" s="67"/>
      <c r="C169" s="26"/>
      <c r="E169" s="114" t="str">
        <f>IF(O159&gt;0,"",IF(Hulpblad!F158="Nee","U komt niet in aanmerking voor subsidie voor een elektrische kookvoorziening als uw woning niet op een warmtenet is aangesloten.",""))</f>
        <v/>
      </c>
      <c r="F169" s="38"/>
      <c r="G169" s="38"/>
      <c r="H169" s="38"/>
      <c r="I169" s="38"/>
      <c r="J169" s="38"/>
      <c r="K169" s="38"/>
      <c r="O169" s="26"/>
    </row>
    <row r="170" spans="1:17" ht="15" customHeight="1">
      <c r="A170" s="106"/>
      <c r="B170" s="67"/>
      <c r="C170" s="26"/>
      <c r="O170" s="26"/>
    </row>
    <row r="171" spans="1:17" ht="15" customHeight="1">
      <c r="A171" s="106"/>
      <c r="B171" s="67"/>
      <c r="C171" s="26"/>
      <c r="O171" s="26"/>
    </row>
    <row r="172" spans="1:17" ht="15" customHeight="1">
      <c r="A172" s="106"/>
      <c r="B172" s="67"/>
      <c r="C172" s="26"/>
      <c r="O172" s="26"/>
    </row>
    <row r="173" spans="1:17" ht="30" customHeight="1">
      <c r="A173" s="105" t="str">
        <f>IF(AND(Hulpblad!F158="Ja",A169="Is uw woning aangesloten op een warmtenet?"),"Heeft u voor de aansluiting op een warmtenet al  eerder subsidie ontvangen van de Rijksoverheid?","Niet van toepassing!")</f>
        <v>Niet van toepassing!</v>
      </c>
      <c r="B173" s="67"/>
      <c r="C173" s="26"/>
      <c r="E173" s="164" t="str">
        <f>IF(O159&gt;0,"",IF(Hulpblad!I158="Ja","U komt niet in aanmerking vooor subsidie voor een elektrische kookvoorziening, omdat u van de Rijksoverheid al subsidie voor het warmtenet heeft ontvangen.",""))</f>
        <v/>
      </c>
      <c r="F173" s="165"/>
      <c r="G173" s="165"/>
      <c r="H173" s="165"/>
      <c r="I173" s="165"/>
      <c r="J173" s="165"/>
      <c r="K173" s="165"/>
      <c r="O173" s="26"/>
    </row>
    <row r="174" spans="1:17" ht="14.1" customHeight="1">
      <c r="A174" s="106"/>
      <c r="B174" s="40"/>
      <c r="C174" s="26"/>
      <c r="D174" s="39"/>
      <c r="L174" s="39"/>
      <c r="M174" s="39"/>
      <c r="O174" s="26"/>
    </row>
    <row r="175" spans="1:17">
      <c r="A175" s="107"/>
      <c r="B175" s="40"/>
      <c r="D175" s="39"/>
      <c r="L175" s="39"/>
      <c r="M175" s="39"/>
      <c r="O175" s="26"/>
    </row>
    <row r="176" spans="1:17">
      <c r="A176" s="107"/>
      <c r="B176" s="40"/>
      <c r="D176" s="39"/>
      <c r="L176" s="39"/>
      <c r="M176" s="39"/>
      <c r="O176" s="26"/>
    </row>
    <row r="177" spans="1:15" ht="30" customHeight="1">
      <c r="A177" s="151" t="str">
        <f>IF(O159&gt;0,"Niet van toepassing!",IF(Hulpblad!I158="Nee","Is zowel uw woning afgesloten van het aardgasnet als de elektrische kookvoorziening aangeschaft op of ná 2 april 2022? En is dit niet langer dan 24 maanden geleden?","Niet van toepassing!"))</f>
        <v>Niet van toepassing!</v>
      </c>
      <c r="B177" s="71"/>
      <c r="E177" s="115" t="str">
        <f>IF(O159&gt;0,"",IF(Hulpblad!L158="Nee","U komt niet in aanmerking vooor subsidie voor een elektrische kookvoorziening. ",""))</f>
        <v/>
      </c>
      <c r="O177" s="26"/>
    </row>
    <row r="178" spans="1:15" ht="15" customHeight="1">
      <c r="A178" s="161"/>
      <c r="B178" s="71"/>
      <c r="E178" s="41"/>
      <c r="O178" s="26"/>
    </row>
    <row r="179" spans="1:15">
      <c r="A179" s="161"/>
      <c r="B179" s="66"/>
      <c r="C179" s="26"/>
      <c r="G179" s="25" t="s">
        <v>64</v>
      </c>
      <c r="H179" s="25"/>
      <c r="I179" s="25"/>
      <c r="J179" s="25"/>
      <c r="O179" s="27">
        <f>IF(O159&gt;0,0,IF(Hulpblad!L158="Ja",VLOOKUP(Hulpblad!C321,Hulpblad!C320:D321,2,FALSE),0))</f>
        <v>0</v>
      </c>
    </row>
    <row r="180" spans="1:15">
      <c r="A180" s="161"/>
      <c r="B180" s="67"/>
      <c r="C180" s="26"/>
    </row>
    <row r="181" spans="1:15">
      <c r="A181" s="42"/>
      <c r="B181" s="42"/>
    </row>
    <row r="182" spans="1:15">
      <c r="A182" s="25"/>
      <c r="B182" s="25"/>
      <c r="O182" s="26"/>
    </row>
    <row r="183" spans="1:15" ht="18.75">
      <c r="B183" s="43"/>
      <c r="G183" s="109" t="s">
        <v>282</v>
      </c>
      <c r="H183" s="43"/>
      <c r="I183" s="43"/>
      <c r="J183" s="43"/>
      <c r="O183" s="108">
        <f>O28+O35+O42+O49+O58+O60+O62+O64+O115+O120+O147+O159+O179</f>
        <v>0</v>
      </c>
    </row>
    <row r="184" spans="1:15">
      <c r="O184" s="39"/>
    </row>
    <row r="185" spans="1:15">
      <c r="A185" s="168"/>
      <c r="B185" s="168"/>
      <c r="C185" s="169"/>
    </row>
  </sheetData>
  <sheetProtection algorithmName="SHA-512" hashValue="BfkaU3f2YwmP/iHwNKuMIr14mUlnkqF1lfJu+0kpurbTgt8iu2peRn8mZ58nM7+rCk2FJrusvaHmeWShw0XeWg==" saltValue="+/G7Evz0E06ICWIP7B6RTg==" spinCount="100000" sheet="1" objects="1" scenarios="1"/>
  <mergeCells count="22">
    <mergeCell ref="E173:K173"/>
    <mergeCell ref="A5:O5"/>
    <mergeCell ref="A185:C185"/>
    <mergeCell ref="A159:A160"/>
    <mergeCell ref="A86:A87"/>
    <mergeCell ref="A93:A94"/>
    <mergeCell ref="A100:A101"/>
    <mergeCell ref="A107:A108"/>
    <mergeCell ref="A177:A180"/>
    <mergeCell ref="G72:G107"/>
    <mergeCell ref="Q159:Q160"/>
    <mergeCell ref="Q147:Q148"/>
    <mergeCell ref="A8:C8"/>
    <mergeCell ref="Q72:Q75"/>
    <mergeCell ref="Q79:Q80"/>
    <mergeCell ref="Q86:Q87"/>
    <mergeCell ref="Q93:Q94"/>
    <mergeCell ref="Q100:Q101"/>
    <mergeCell ref="Q107:Q108"/>
    <mergeCell ref="A14:E14"/>
    <mergeCell ref="Q113:Q114"/>
    <mergeCell ref="I55:I56"/>
  </mergeCells>
  <conditionalFormatting sqref="C142">
    <cfRule type="expression" dxfId="1" priority="1">
      <formula>$A$142=""</formula>
    </cfRule>
    <cfRule type="expression" dxfId="0" priority="2">
      <formula>$A$142=""</formula>
    </cfRule>
  </conditionalFormatting>
  <hyperlinks>
    <hyperlink ref="A9" r:id="rId1" xr:uid="{47158AD8-F4BE-4684-9E7F-A872EB46414A}"/>
    <hyperlink ref="A10" r:id="rId2" xr:uid="{FBF1111B-5C35-4A3D-AA40-12A6A0720D7E}"/>
    <hyperlink ref="A8" r:id="rId3" xr:uid="{8BDAA56C-B297-4D20-9CA0-573A492E3437}"/>
    <hyperlink ref="A11" r:id="rId4" xr:uid="{3316CA3D-B4B2-408E-9A54-58B00C0F7BBE}"/>
  </hyperlinks>
  <pageMargins left="0.7" right="0.7" top="0.75" bottom="0.75" header="0.3" footer="0.3"/>
  <pageSetup paperSize="9" scale="37" fitToHeight="0" orientation="landscape" r:id="rId5"/>
  <ignoredErrors>
    <ignoredError sqref="Q159" evalError="1"/>
  </ignoredErrors>
  <drawing r:id="rId6"/>
  <legacyDrawing r:id="rId7"/>
  <mc:AlternateContent xmlns:mc="http://schemas.openxmlformats.org/markup-compatibility/2006">
    <mc:Choice Requires="x14">
      <controls>
        <mc:AlternateContent xmlns:mc="http://schemas.openxmlformats.org/markup-compatibility/2006">
          <mc:Choice Requires="x14">
            <control shapeId="1133" r:id="rId8" name="Option Button 109">
              <controlPr defaultSize="0" autoFill="0" autoLine="0" autoPict="0">
                <anchor moveWithCells="1">
                  <from>
                    <xdr:col>2</xdr:col>
                    <xdr:colOff>19050</xdr:colOff>
                    <xdr:row>28</xdr:row>
                    <xdr:rowOff>0</xdr:rowOff>
                  </from>
                  <to>
                    <xdr:col>2</xdr:col>
                    <xdr:colOff>2914650</xdr:colOff>
                    <xdr:row>28</xdr:row>
                    <xdr:rowOff>180975</xdr:rowOff>
                  </to>
                </anchor>
              </controlPr>
            </control>
          </mc:Choice>
        </mc:AlternateContent>
        <mc:AlternateContent xmlns:mc="http://schemas.openxmlformats.org/markup-compatibility/2006">
          <mc:Choice Requires="x14">
            <control shapeId="1136" r:id="rId9" name="Group Box 112">
              <controlPr defaultSize="0" autoFill="0" autoPict="0" altText="Dakisolatie">
                <anchor moveWithCells="1">
                  <from>
                    <xdr:col>1</xdr:col>
                    <xdr:colOff>238125</xdr:colOff>
                    <xdr:row>27</xdr:row>
                    <xdr:rowOff>0</xdr:rowOff>
                  </from>
                  <to>
                    <xdr:col>3</xdr:col>
                    <xdr:colOff>9525</xdr:colOff>
                    <xdr:row>31</xdr:row>
                    <xdr:rowOff>57150</xdr:rowOff>
                  </to>
                </anchor>
              </controlPr>
            </control>
          </mc:Choice>
        </mc:AlternateContent>
        <mc:AlternateContent xmlns:mc="http://schemas.openxmlformats.org/markup-compatibility/2006">
          <mc:Choice Requires="x14">
            <control shapeId="1141" r:id="rId10" name="Group Box 117">
              <controlPr defaultSize="0" autoFill="0" autoPict="0" altText="Dakisolatie">
                <anchor moveWithCells="1">
                  <from>
                    <xdr:col>1</xdr:col>
                    <xdr:colOff>209550</xdr:colOff>
                    <xdr:row>16</xdr:row>
                    <xdr:rowOff>285750</xdr:rowOff>
                  </from>
                  <to>
                    <xdr:col>3</xdr:col>
                    <xdr:colOff>66675</xdr:colOff>
                    <xdr:row>21</xdr:row>
                    <xdr:rowOff>9525</xdr:rowOff>
                  </to>
                </anchor>
              </controlPr>
            </control>
          </mc:Choice>
        </mc:AlternateContent>
        <mc:AlternateContent xmlns:mc="http://schemas.openxmlformats.org/markup-compatibility/2006">
          <mc:Choice Requires="x14">
            <control shapeId="1142" r:id="rId11" name="Option Button 118">
              <controlPr defaultSize="0" autoFill="0" autoLine="0" autoPict="0">
                <anchor moveWithCells="1">
                  <from>
                    <xdr:col>2</xdr:col>
                    <xdr:colOff>0</xdr:colOff>
                    <xdr:row>18</xdr:row>
                    <xdr:rowOff>9525</xdr:rowOff>
                  </from>
                  <to>
                    <xdr:col>2</xdr:col>
                    <xdr:colOff>2352675</xdr:colOff>
                    <xdr:row>18</xdr:row>
                    <xdr:rowOff>190500</xdr:rowOff>
                  </to>
                </anchor>
              </controlPr>
            </control>
          </mc:Choice>
        </mc:AlternateContent>
        <mc:AlternateContent xmlns:mc="http://schemas.openxmlformats.org/markup-compatibility/2006">
          <mc:Choice Requires="x14">
            <control shapeId="1145" r:id="rId12" name="Option Button 121">
              <controlPr defaultSize="0" autoFill="0" autoLine="0" autoPict="0">
                <anchor moveWithCells="1">
                  <from>
                    <xdr:col>4</xdr:col>
                    <xdr:colOff>28575</xdr:colOff>
                    <xdr:row>27</xdr:row>
                    <xdr:rowOff>171450</xdr:rowOff>
                  </from>
                  <to>
                    <xdr:col>4</xdr:col>
                    <xdr:colOff>2962275</xdr:colOff>
                    <xdr:row>29</xdr:row>
                    <xdr:rowOff>0</xdr:rowOff>
                  </to>
                </anchor>
              </controlPr>
            </control>
          </mc:Choice>
        </mc:AlternateContent>
        <mc:AlternateContent xmlns:mc="http://schemas.openxmlformats.org/markup-compatibility/2006">
          <mc:Choice Requires="x14">
            <control shapeId="1152" r:id="rId13" name="Option Button 128">
              <controlPr defaultSize="0" autoFill="0" autoLine="0" autoPict="0">
                <anchor moveWithCells="1">
                  <from>
                    <xdr:col>2</xdr:col>
                    <xdr:colOff>19050</xdr:colOff>
                    <xdr:row>35</xdr:row>
                    <xdr:rowOff>9525</xdr:rowOff>
                  </from>
                  <to>
                    <xdr:col>2</xdr:col>
                    <xdr:colOff>3038475</xdr:colOff>
                    <xdr:row>36</xdr:row>
                    <xdr:rowOff>0</xdr:rowOff>
                  </to>
                </anchor>
              </controlPr>
            </control>
          </mc:Choice>
        </mc:AlternateContent>
        <mc:AlternateContent xmlns:mc="http://schemas.openxmlformats.org/markup-compatibility/2006">
          <mc:Choice Requires="x14">
            <control shapeId="1157" r:id="rId14" name="Group Box 133">
              <controlPr defaultSize="0" autoFill="0" autoPict="0">
                <anchor moveWithCells="1">
                  <from>
                    <xdr:col>1</xdr:col>
                    <xdr:colOff>238125</xdr:colOff>
                    <xdr:row>34</xdr:row>
                    <xdr:rowOff>0</xdr:rowOff>
                  </from>
                  <to>
                    <xdr:col>3</xdr:col>
                    <xdr:colOff>0</xdr:colOff>
                    <xdr:row>37</xdr:row>
                    <xdr:rowOff>85725</xdr:rowOff>
                  </to>
                </anchor>
              </controlPr>
            </control>
          </mc:Choice>
        </mc:AlternateContent>
        <mc:AlternateContent xmlns:mc="http://schemas.openxmlformats.org/markup-compatibility/2006">
          <mc:Choice Requires="x14">
            <control shapeId="1180" r:id="rId15" name="Option Button 156">
              <controlPr defaultSize="0" autoFill="0" autoLine="0" autoPict="0">
                <anchor moveWithCells="1">
                  <from>
                    <xdr:col>4</xdr:col>
                    <xdr:colOff>38100</xdr:colOff>
                    <xdr:row>34</xdr:row>
                    <xdr:rowOff>171450</xdr:rowOff>
                  </from>
                  <to>
                    <xdr:col>4</xdr:col>
                    <xdr:colOff>3067050</xdr:colOff>
                    <xdr:row>36</xdr:row>
                    <xdr:rowOff>9525</xdr:rowOff>
                  </to>
                </anchor>
              </controlPr>
            </control>
          </mc:Choice>
        </mc:AlternateContent>
        <mc:AlternateContent xmlns:mc="http://schemas.openxmlformats.org/markup-compatibility/2006">
          <mc:Choice Requires="x14">
            <control shapeId="1186" r:id="rId16" name="Group Box 162">
              <controlPr defaultSize="0" autoFill="0" autoPict="0">
                <anchor moveWithCells="1">
                  <from>
                    <xdr:col>4</xdr:col>
                    <xdr:colOff>9525</xdr:colOff>
                    <xdr:row>27</xdr:row>
                    <xdr:rowOff>0</xdr:rowOff>
                  </from>
                  <to>
                    <xdr:col>5</xdr:col>
                    <xdr:colOff>9525</xdr:colOff>
                    <xdr:row>32</xdr:row>
                    <xdr:rowOff>76200</xdr:rowOff>
                  </to>
                </anchor>
              </controlPr>
            </control>
          </mc:Choice>
        </mc:AlternateContent>
        <mc:AlternateContent xmlns:mc="http://schemas.openxmlformats.org/markup-compatibility/2006">
          <mc:Choice Requires="x14">
            <control shapeId="1187" r:id="rId17" name="Group Box 163">
              <controlPr defaultSize="0" autoFill="0" autoPict="0">
                <anchor moveWithCells="1">
                  <from>
                    <xdr:col>4</xdr:col>
                    <xdr:colOff>0</xdr:colOff>
                    <xdr:row>34</xdr:row>
                    <xdr:rowOff>0</xdr:rowOff>
                  </from>
                  <to>
                    <xdr:col>5</xdr:col>
                    <xdr:colOff>9525</xdr:colOff>
                    <xdr:row>39</xdr:row>
                    <xdr:rowOff>76200</xdr:rowOff>
                  </to>
                </anchor>
              </controlPr>
            </control>
          </mc:Choice>
        </mc:AlternateContent>
        <mc:AlternateContent xmlns:mc="http://schemas.openxmlformats.org/markup-compatibility/2006">
          <mc:Choice Requires="x14">
            <control shapeId="1188" r:id="rId18" name="Option Button 164">
              <controlPr defaultSize="0" autoFill="0" autoLine="0" autoPict="0">
                <anchor moveWithCells="1">
                  <from>
                    <xdr:col>2</xdr:col>
                    <xdr:colOff>19050</xdr:colOff>
                    <xdr:row>41</xdr:row>
                    <xdr:rowOff>180975</xdr:rowOff>
                  </from>
                  <to>
                    <xdr:col>2</xdr:col>
                    <xdr:colOff>2571750</xdr:colOff>
                    <xdr:row>43</xdr:row>
                    <xdr:rowOff>19050</xdr:rowOff>
                  </to>
                </anchor>
              </controlPr>
            </control>
          </mc:Choice>
        </mc:AlternateContent>
        <mc:AlternateContent xmlns:mc="http://schemas.openxmlformats.org/markup-compatibility/2006">
          <mc:Choice Requires="x14">
            <control shapeId="1190" r:id="rId19" name="Group Box 166">
              <controlPr defaultSize="0" autoFill="0" autoPict="0">
                <anchor moveWithCells="1">
                  <from>
                    <xdr:col>1</xdr:col>
                    <xdr:colOff>238125</xdr:colOff>
                    <xdr:row>41</xdr:row>
                    <xdr:rowOff>0</xdr:rowOff>
                  </from>
                  <to>
                    <xdr:col>3</xdr:col>
                    <xdr:colOff>9525</xdr:colOff>
                    <xdr:row>44</xdr:row>
                    <xdr:rowOff>104775</xdr:rowOff>
                  </to>
                </anchor>
              </controlPr>
            </control>
          </mc:Choice>
        </mc:AlternateContent>
        <mc:AlternateContent xmlns:mc="http://schemas.openxmlformats.org/markup-compatibility/2006">
          <mc:Choice Requires="x14">
            <control shapeId="1191" r:id="rId20" name="Option Button 167">
              <controlPr defaultSize="0" autoFill="0" autoLine="0" autoPict="0">
                <anchor moveWithCells="1">
                  <from>
                    <xdr:col>4</xdr:col>
                    <xdr:colOff>47625</xdr:colOff>
                    <xdr:row>41</xdr:row>
                    <xdr:rowOff>180975</xdr:rowOff>
                  </from>
                  <to>
                    <xdr:col>4</xdr:col>
                    <xdr:colOff>3219450</xdr:colOff>
                    <xdr:row>43</xdr:row>
                    <xdr:rowOff>9525</xdr:rowOff>
                  </to>
                </anchor>
              </controlPr>
            </control>
          </mc:Choice>
        </mc:AlternateContent>
        <mc:AlternateContent xmlns:mc="http://schemas.openxmlformats.org/markup-compatibility/2006">
          <mc:Choice Requires="x14">
            <control shapeId="1195" r:id="rId21" name="Group Box 171">
              <controlPr defaultSize="0" autoFill="0" autoPict="0">
                <anchor moveWithCells="1">
                  <from>
                    <xdr:col>3</xdr:col>
                    <xdr:colOff>247650</xdr:colOff>
                    <xdr:row>41</xdr:row>
                    <xdr:rowOff>0</xdr:rowOff>
                  </from>
                  <to>
                    <xdr:col>5</xdr:col>
                    <xdr:colOff>9525</xdr:colOff>
                    <xdr:row>46</xdr:row>
                    <xdr:rowOff>95250</xdr:rowOff>
                  </to>
                </anchor>
              </controlPr>
            </control>
          </mc:Choice>
        </mc:AlternateContent>
        <mc:AlternateContent xmlns:mc="http://schemas.openxmlformats.org/markup-compatibility/2006">
          <mc:Choice Requires="x14">
            <control shapeId="1197" r:id="rId22" name="Option Button 173">
              <controlPr defaultSize="0" autoFill="0" autoLine="0" autoPict="0">
                <anchor moveWithCells="1">
                  <from>
                    <xdr:col>2</xdr:col>
                    <xdr:colOff>19050</xdr:colOff>
                    <xdr:row>48</xdr:row>
                    <xdr:rowOff>180975</xdr:rowOff>
                  </from>
                  <to>
                    <xdr:col>2</xdr:col>
                    <xdr:colOff>3257550</xdr:colOff>
                    <xdr:row>50</xdr:row>
                    <xdr:rowOff>9525</xdr:rowOff>
                  </to>
                </anchor>
              </controlPr>
            </control>
          </mc:Choice>
        </mc:AlternateContent>
        <mc:AlternateContent xmlns:mc="http://schemas.openxmlformats.org/markup-compatibility/2006">
          <mc:Choice Requires="x14">
            <control shapeId="1200" r:id="rId23" name="Group Box 176">
              <controlPr defaultSize="0" autoFill="0" autoPict="0">
                <anchor moveWithCells="1">
                  <from>
                    <xdr:col>1</xdr:col>
                    <xdr:colOff>247650</xdr:colOff>
                    <xdr:row>47</xdr:row>
                    <xdr:rowOff>190500</xdr:rowOff>
                  </from>
                  <to>
                    <xdr:col>3</xdr:col>
                    <xdr:colOff>0</xdr:colOff>
                    <xdr:row>52</xdr:row>
                    <xdr:rowOff>85725</xdr:rowOff>
                  </to>
                </anchor>
              </controlPr>
            </control>
          </mc:Choice>
        </mc:AlternateContent>
        <mc:AlternateContent xmlns:mc="http://schemas.openxmlformats.org/markup-compatibility/2006">
          <mc:Choice Requires="x14">
            <control shapeId="1201" r:id="rId24" name="Option Button 177">
              <controlPr defaultSize="0" autoFill="0" autoLine="0" autoPict="0">
                <anchor moveWithCells="1">
                  <from>
                    <xdr:col>4</xdr:col>
                    <xdr:colOff>66675</xdr:colOff>
                    <xdr:row>48</xdr:row>
                    <xdr:rowOff>171450</xdr:rowOff>
                  </from>
                  <to>
                    <xdr:col>4</xdr:col>
                    <xdr:colOff>3171825</xdr:colOff>
                    <xdr:row>50</xdr:row>
                    <xdr:rowOff>9525</xdr:rowOff>
                  </to>
                </anchor>
              </controlPr>
            </control>
          </mc:Choice>
        </mc:AlternateContent>
        <mc:AlternateContent xmlns:mc="http://schemas.openxmlformats.org/markup-compatibility/2006">
          <mc:Choice Requires="x14">
            <control shapeId="1205" r:id="rId25" name="Group Box 181">
              <controlPr defaultSize="0" autoFill="0" autoPict="0">
                <anchor moveWithCells="1">
                  <from>
                    <xdr:col>4</xdr:col>
                    <xdr:colOff>0</xdr:colOff>
                    <xdr:row>48</xdr:row>
                    <xdr:rowOff>0</xdr:rowOff>
                  </from>
                  <to>
                    <xdr:col>5</xdr:col>
                    <xdr:colOff>9525</xdr:colOff>
                    <xdr:row>53</xdr:row>
                    <xdr:rowOff>95250</xdr:rowOff>
                  </to>
                </anchor>
              </controlPr>
            </control>
          </mc:Choice>
        </mc:AlternateContent>
        <mc:AlternateContent xmlns:mc="http://schemas.openxmlformats.org/markup-compatibility/2006">
          <mc:Choice Requires="x14">
            <control shapeId="1206" r:id="rId26" name="Option Button 182">
              <controlPr defaultSize="0" autoFill="0" autoLine="0" autoPict="0">
                <anchor moveWithCells="1">
                  <from>
                    <xdr:col>2</xdr:col>
                    <xdr:colOff>66675</xdr:colOff>
                    <xdr:row>119</xdr:row>
                    <xdr:rowOff>171450</xdr:rowOff>
                  </from>
                  <to>
                    <xdr:col>2</xdr:col>
                    <xdr:colOff>3124200</xdr:colOff>
                    <xdr:row>121</xdr:row>
                    <xdr:rowOff>0</xdr:rowOff>
                  </to>
                </anchor>
              </controlPr>
            </control>
          </mc:Choice>
        </mc:AlternateContent>
        <mc:AlternateContent xmlns:mc="http://schemas.openxmlformats.org/markup-compatibility/2006">
          <mc:Choice Requires="x14">
            <control shapeId="1216" r:id="rId27" name="Group Box 192">
              <controlPr defaultSize="0" autoFill="0" autoPict="0">
                <anchor moveWithCells="1">
                  <from>
                    <xdr:col>2</xdr:col>
                    <xdr:colOff>0</xdr:colOff>
                    <xdr:row>118</xdr:row>
                    <xdr:rowOff>190500</xdr:rowOff>
                  </from>
                  <to>
                    <xdr:col>3</xdr:col>
                    <xdr:colOff>0</xdr:colOff>
                    <xdr:row>132</xdr:row>
                    <xdr:rowOff>66675</xdr:rowOff>
                  </to>
                </anchor>
              </controlPr>
            </control>
          </mc:Choice>
        </mc:AlternateContent>
        <mc:AlternateContent xmlns:mc="http://schemas.openxmlformats.org/markup-compatibility/2006">
          <mc:Choice Requires="x14">
            <control shapeId="1237" r:id="rId28" name="Option Button 213">
              <controlPr defaultSize="0" autoFill="0" autoLine="0" autoPict="0">
                <anchor moveWithCells="1">
                  <from>
                    <xdr:col>2</xdr:col>
                    <xdr:colOff>66675</xdr:colOff>
                    <xdr:row>120</xdr:row>
                    <xdr:rowOff>171450</xdr:rowOff>
                  </from>
                  <to>
                    <xdr:col>2</xdr:col>
                    <xdr:colOff>3124200</xdr:colOff>
                    <xdr:row>122</xdr:row>
                    <xdr:rowOff>0</xdr:rowOff>
                  </to>
                </anchor>
              </controlPr>
            </control>
          </mc:Choice>
        </mc:AlternateContent>
        <mc:AlternateContent xmlns:mc="http://schemas.openxmlformats.org/markup-compatibility/2006">
          <mc:Choice Requires="x14">
            <control shapeId="1238" r:id="rId29" name="Option Button 214">
              <controlPr defaultSize="0" autoFill="0" autoLine="0" autoPict="0">
                <anchor moveWithCells="1">
                  <from>
                    <xdr:col>2</xdr:col>
                    <xdr:colOff>66675</xdr:colOff>
                    <xdr:row>121</xdr:row>
                    <xdr:rowOff>171450</xdr:rowOff>
                  </from>
                  <to>
                    <xdr:col>2</xdr:col>
                    <xdr:colOff>3124200</xdr:colOff>
                    <xdr:row>123</xdr:row>
                    <xdr:rowOff>0</xdr:rowOff>
                  </to>
                </anchor>
              </controlPr>
            </control>
          </mc:Choice>
        </mc:AlternateContent>
        <mc:AlternateContent xmlns:mc="http://schemas.openxmlformats.org/markup-compatibility/2006">
          <mc:Choice Requires="x14">
            <control shapeId="1239" r:id="rId30" name="Option Button 215">
              <controlPr defaultSize="0" autoFill="0" autoLine="0" autoPict="0">
                <anchor moveWithCells="1">
                  <from>
                    <xdr:col>2</xdr:col>
                    <xdr:colOff>66675</xdr:colOff>
                    <xdr:row>122</xdr:row>
                    <xdr:rowOff>171450</xdr:rowOff>
                  </from>
                  <to>
                    <xdr:col>2</xdr:col>
                    <xdr:colOff>3124200</xdr:colOff>
                    <xdr:row>124</xdr:row>
                    <xdr:rowOff>0</xdr:rowOff>
                  </to>
                </anchor>
              </controlPr>
            </control>
          </mc:Choice>
        </mc:AlternateContent>
        <mc:AlternateContent xmlns:mc="http://schemas.openxmlformats.org/markup-compatibility/2006">
          <mc:Choice Requires="x14">
            <control shapeId="1240" r:id="rId31" name="Option Button 216">
              <controlPr defaultSize="0" autoFill="0" autoLine="0" autoPict="0">
                <anchor moveWithCells="1">
                  <from>
                    <xdr:col>2</xdr:col>
                    <xdr:colOff>66675</xdr:colOff>
                    <xdr:row>123</xdr:row>
                    <xdr:rowOff>171450</xdr:rowOff>
                  </from>
                  <to>
                    <xdr:col>2</xdr:col>
                    <xdr:colOff>3124200</xdr:colOff>
                    <xdr:row>125</xdr:row>
                    <xdr:rowOff>0</xdr:rowOff>
                  </to>
                </anchor>
              </controlPr>
            </control>
          </mc:Choice>
        </mc:AlternateContent>
        <mc:AlternateContent xmlns:mc="http://schemas.openxmlformats.org/markup-compatibility/2006">
          <mc:Choice Requires="x14">
            <control shapeId="1241" r:id="rId32" name="Option Button 217">
              <controlPr defaultSize="0" autoFill="0" autoLine="0" autoPict="0">
                <anchor moveWithCells="1">
                  <from>
                    <xdr:col>2</xdr:col>
                    <xdr:colOff>66675</xdr:colOff>
                    <xdr:row>124</xdr:row>
                    <xdr:rowOff>171450</xdr:rowOff>
                  </from>
                  <to>
                    <xdr:col>2</xdr:col>
                    <xdr:colOff>3124200</xdr:colOff>
                    <xdr:row>126</xdr:row>
                    <xdr:rowOff>0</xdr:rowOff>
                  </to>
                </anchor>
              </controlPr>
            </control>
          </mc:Choice>
        </mc:AlternateContent>
        <mc:AlternateContent xmlns:mc="http://schemas.openxmlformats.org/markup-compatibility/2006">
          <mc:Choice Requires="x14">
            <control shapeId="1242" r:id="rId33" name="Option Button 218">
              <controlPr defaultSize="0" autoFill="0" autoLine="0" autoPict="0">
                <anchor moveWithCells="1">
                  <from>
                    <xdr:col>2</xdr:col>
                    <xdr:colOff>66675</xdr:colOff>
                    <xdr:row>125</xdr:row>
                    <xdr:rowOff>171450</xdr:rowOff>
                  </from>
                  <to>
                    <xdr:col>2</xdr:col>
                    <xdr:colOff>3124200</xdr:colOff>
                    <xdr:row>127</xdr:row>
                    <xdr:rowOff>0</xdr:rowOff>
                  </to>
                </anchor>
              </controlPr>
            </control>
          </mc:Choice>
        </mc:AlternateContent>
        <mc:AlternateContent xmlns:mc="http://schemas.openxmlformats.org/markup-compatibility/2006">
          <mc:Choice Requires="x14">
            <control shapeId="1243" r:id="rId34" name="Option Button 219">
              <controlPr defaultSize="0" autoFill="0" autoLine="0" autoPict="0">
                <anchor moveWithCells="1">
                  <from>
                    <xdr:col>2</xdr:col>
                    <xdr:colOff>66675</xdr:colOff>
                    <xdr:row>126</xdr:row>
                    <xdr:rowOff>171450</xdr:rowOff>
                  </from>
                  <to>
                    <xdr:col>2</xdr:col>
                    <xdr:colOff>3124200</xdr:colOff>
                    <xdr:row>128</xdr:row>
                    <xdr:rowOff>0</xdr:rowOff>
                  </to>
                </anchor>
              </controlPr>
            </control>
          </mc:Choice>
        </mc:AlternateContent>
        <mc:AlternateContent xmlns:mc="http://schemas.openxmlformats.org/markup-compatibility/2006">
          <mc:Choice Requires="x14">
            <control shapeId="1244" r:id="rId35" name="Option Button 220">
              <controlPr defaultSize="0" autoFill="0" autoLine="0" autoPict="0">
                <anchor moveWithCells="1">
                  <from>
                    <xdr:col>2</xdr:col>
                    <xdr:colOff>66675</xdr:colOff>
                    <xdr:row>127</xdr:row>
                    <xdr:rowOff>171450</xdr:rowOff>
                  </from>
                  <to>
                    <xdr:col>2</xdr:col>
                    <xdr:colOff>3124200</xdr:colOff>
                    <xdr:row>129</xdr:row>
                    <xdr:rowOff>0</xdr:rowOff>
                  </to>
                </anchor>
              </controlPr>
            </control>
          </mc:Choice>
        </mc:AlternateContent>
        <mc:AlternateContent xmlns:mc="http://schemas.openxmlformats.org/markup-compatibility/2006">
          <mc:Choice Requires="x14">
            <control shapeId="1253" r:id="rId36" name="Option Button 229">
              <controlPr defaultSize="0" autoFill="0" autoLine="0" autoPict="0">
                <anchor moveWithCells="1">
                  <from>
                    <xdr:col>2</xdr:col>
                    <xdr:colOff>66675</xdr:colOff>
                    <xdr:row>128</xdr:row>
                    <xdr:rowOff>171450</xdr:rowOff>
                  </from>
                  <to>
                    <xdr:col>2</xdr:col>
                    <xdr:colOff>3124200</xdr:colOff>
                    <xdr:row>130</xdr:row>
                    <xdr:rowOff>0</xdr:rowOff>
                  </to>
                </anchor>
              </controlPr>
            </control>
          </mc:Choice>
        </mc:AlternateContent>
        <mc:AlternateContent xmlns:mc="http://schemas.openxmlformats.org/markup-compatibility/2006">
          <mc:Choice Requires="x14">
            <control shapeId="1254" r:id="rId37" name="Option Button 230">
              <controlPr defaultSize="0" autoFill="0" autoLine="0" autoPict="0">
                <anchor moveWithCells="1">
                  <from>
                    <xdr:col>2</xdr:col>
                    <xdr:colOff>66675</xdr:colOff>
                    <xdr:row>129</xdr:row>
                    <xdr:rowOff>171450</xdr:rowOff>
                  </from>
                  <to>
                    <xdr:col>2</xdr:col>
                    <xdr:colOff>3124200</xdr:colOff>
                    <xdr:row>131</xdr:row>
                    <xdr:rowOff>0</xdr:rowOff>
                  </to>
                </anchor>
              </controlPr>
            </control>
          </mc:Choice>
        </mc:AlternateContent>
        <mc:AlternateContent xmlns:mc="http://schemas.openxmlformats.org/markup-compatibility/2006">
          <mc:Choice Requires="x14">
            <control shapeId="1259" r:id="rId38" name="Option Button 235">
              <controlPr defaultSize="0" autoFill="0" autoLine="0" autoPict="0">
                <anchor moveWithCells="1">
                  <from>
                    <xdr:col>2</xdr:col>
                    <xdr:colOff>66675</xdr:colOff>
                    <xdr:row>130</xdr:row>
                    <xdr:rowOff>171450</xdr:rowOff>
                  </from>
                  <to>
                    <xdr:col>2</xdr:col>
                    <xdr:colOff>3124200</xdr:colOff>
                    <xdr:row>132</xdr:row>
                    <xdr:rowOff>0</xdr:rowOff>
                  </to>
                </anchor>
              </controlPr>
            </control>
          </mc:Choice>
        </mc:AlternateContent>
        <mc:AlternateContent xmlns:mc="http://schemas.openxmlformats.org/markup-compatibility/2006">
          <mc:Choice Requires="x14">
            <control shapeId="1263" r:id="rId39" name="Option Button 239">
              <controlPr defaultSize="0" autoFill="0" autoLine="0" autoPict="0">
                <anchor moveWithCells="1">
                  <from>
                    <xdr:col>2</xdr:col>
                    <xdr:colOff>85725</xdr:colOff>
                    <xdr:row>134</xdr:row>
                    <xdr:rowOff>180975</xdr:rowOff>
                  </from>
                  <to>
                    <xdr:col>2</xdr:col>
                    <xdr:colOff>3162300</xdr:colOff>
                    <xdr:row>136</xdr:row>
                    <xdr:rowOff>9525</xdr:rowOff>
                  </to>
                </anchor>
              </controlPr>
            </control>
          </mc:Choice>
        </mc:AlternateContent>
        <mc:AlternateContent xmlns:mc="http://schemas.openxmlformats.org/markup-compatibility/2006">
          <mc:Choice Requires="x14">
            <control shapeId="1273" r:id="rId40" name="Option Button 249">
              <controlPr defaultSize="0" autoFill="0" autoLine="0" autoPict="0">
                <anchor moveWithCells="1">
                  <from>
                    <xdr:col>2</xdr:col>
                    <xdr:colOff>85725</xdr:colOff>
                    <xdr:row>135</xdr:row>
                    <xdr:rowOff>180975</xdr:rowOff>
                  </from>
                  <to>
                    <xdr:col>2</xdr:col>
                    <xdr:colOff>3162300</xdr:colOff>
                    <xdr:row>137</xdr:row>
                    <xdr:rowOff>9525</xdr:rowOff>
                  </to>
                </anchor>
              </controlPr>
            </control>
          </mc:Choice>
        </mc:AlternateContent>
        <mc:AlternateContent xmlns:mc="http://schemas.openxmlformats.org/markup-compatibility/2006">
          <mc:Choice Requires="x14">
            <control shapeId="1274" r:id="rId41" name="Option Button 250">
              <controlPr defaultSize="0" autoFill="0" autoLine="0" autoPict="0">
                <anchor moveWithCells="1">
                  <from>
                    <xdr:col>2</xdr:col>
                    <xdr:colOff>85725</xdr:colOff>
                    <xdr:row>136</xdr:row>
                    <xdr:rowOff>180975</xdr:rowOff>
                  </from>
                  <to>
                    <xdr:col>2</xdr:col>
                    <xdr:colOff>3162300</xdr:colOff>
                    <xdr:row>138</xdr:row>
                    <xdr:rowOff>9525</xdr:rowOff>
                  </to>
                </anchor>
              </controlPr>
            </control>
          </mc:Choice>
        </mc:AlternateContent>
        <mc:AlternateContent xmlns:mc="http://schemas.openxmlformats.org/markup-compatibility/2006">
          <mc:Choice Requires="x14">
            <control shapeId="1275" r:id="rId42" name="Option Button 251">
              <controlPr defaultSize="0" autoFill="0" autoLine="0" autoPict="0">
                <anchor moveWithCells="1">
                  <from>
                    <xdr:col>2</xdr:col>
                    <xdr:colOff>85725</xdr:colOff>
                    <xdr:row>137</xdr:row>
                    <xdr:rowOff>180975</xdr:rowOff>
                  </from>
                  <to>
                    <xdr:col>2</xdr:col>
                    <xdr:colOff>3162300</xdr:colOff>
                    <xdr:row>139</xdr:row>
                    <xdr:rowOff>9525</xdr:rowOff>
                  </to>
                </anchor>
              </controlPr>
            </control>
          </mc:Choice>
        </mc:AlternateContent>
        <mc:AlternateContent xmlns:mc="http://schemas.openxmlformats.org/markup-compatibility/2006">
          <mc:Choice Requires="x14">
            <control shapeId="1276" r:id="rId43" name="Option Button 252">
              <controlPr defaultSize="0" autoFill="0" autoLine="0" autoPict="0">
                <anchor moveWithCells="1">
                  <from>
                    <xdr:col>2</xdr:col>
                    <xdr:colOff>85725</xdr:colOff>
                    <xdr:row>138</xdr:row>
                    <xdr:rowOff>180975</xdr:rowOff>
                  </from>
                  <to>
                    <xdr:col>2</xdr:col>
                    <xdr:colOff>3162300</xdr:colOff>
                    <xdr:row>140</xdr:row>
                    <xdr:rowOff>9525</xdr:rowOff>
                  </to>
                </anchor>
              </controlPr>
            </control>
          </mc:Choice>
        </mc:AlternateContent>
        <mc:AlternateContent xmlns:mc="http://schemas.openxmlformats.org/markup-compatibility/2006">
          <mc:Choice Requires="x14">
            <control shapeId="1277" r:id="rId44" name="Group Box 253">
              <controlPr defaultSize="0" autoFill="0" autoPict="0">
                <anchor moveWithCells="1">
                  <from>
                    <xdr:col>2</xdr:col>
                    <xdr:colOff>9525</xdr:colOff>
                    <xdr:row>134</xdr:row>
                    <xdr:rowOff>57150</xdr:rowOff>
                  </from>
                  <to>
                    <xdr:col>3</xdr:col>
                    <xdr:colOff>0</xdr:colOff>
                    <xdr:row>140</xdr:row>
                    <xdr:rowOff>66675</xdr:rowOff>
                  </to>
                </anchor>
              </controlPr>
            </control>
          </mc:Choice>
        </mc:AlternateContent>
        <mc:AlternateContent xmlns:mc="http://schemas.openxmlformats.org/markup-compatibility/2006">
          <mc:Choice Requires="x14">
            <control shapeId="1278" r:id="rId45" name="Option Button 254">
              <controlPr defaultSize="0" autoFill="0" autoLine="0" autoPict="0">
                <anchor moveWithCells="1">
                  <from>
                    <xdr:col>2</xdr:col>
                    <xdr:colOff>0</xdr:colOff>
                    <xdr:row>19</xdr:row>
                    <xdr:rowOff>9525</xdr:rowOff>
                  </from>
                  <to>
                    <xdr:col>2</xdr:col>
                    <xdr:colOff>2352675</xdr:colOff>
                    <xdr:row>19</xdr:row>
                    <xdr:rowOff>190500</xdr:rowOff>
                  </to>
                </anchor>
              </controlPr>
            </control>
          </mc:Choice>
        </mc:AlternateContent>
        <mc:AlternateContent xmlns:mc="http://schemas.openxmlformats.org/markup-compatibility/2006">
          <mc:Choice Requires="x14">
            <control shapeId="1279" r:id="rId46" name="Option Button 255">
              <controlPr defaultSize="0" autoFill="0" autoLine="0" autoPict="0">
                <anchor moveWithCells="1">
                  <from>
                    <xdr:col>2</xdr:col>
                    <xdr:colOff>0</xdr:colOff>
                    <xdr:row>20</xdr:row>
                    <xdr:rowOff>9525</xdr:rowOff>
                  </from>
                  <to>
                    <xdr:col>2</xdr:col>
                    <xdr:colOff>2352675</xdr:colOff>
                    <xdr:row>20</xdr:row>
                    <xdr:rowOff>190500</xdr:rowOff>
                  </to>
                </anchor>
              </controlPr>
            </control>
          </mc:Choice>
        </mc:AlternateContent>
        <mc:AlternateContent xmlns:mc="http://schemas.openxmlformats.org/markup-compatibility/2006">
          <mc:Choice Requires="x14">
            <control shapeId="1280" r:id="rId47" name="Option Button 256">
              <controlPr defaultSize="0" autoFill="0" autoLine="0" autoPict="0">
                <anchor moveWithCells="1">
                  <from>
                    <xdr:col>2</xdr:col>
                    <xdr:colOff>19050</xdr:colOff>
                    <xdr:row>29</xdr:row>
                    <xdr:rowOff>0</xdr:rowOff>
                  </from>
                  <to>
                    <xdr:col>2</xdr:col>
                    <xdr:colOff>2914650</xdr:colOff>
                    <xdr:row>29</xdr:row>
                    <xdr:rowOff>180975</xdr:rowOff>
                  </to>
                </anchor>
              </controlPr>
            </control>
          </mc:Choice>
        </mc:AlternateContent>
        <mc:AlternateContent xmlns:mc="http://schemas.openxmlformats.org/markup-compatibility/2006">
          <mc:Choice Requires="x14">
            <control shapeId="1281" r:id="rId48" name="Option Button 257">
              <controlPr defaultSize="0" autoFill="0" autoLine="0" autoPict="0">
                <anchor moveWithCells="1">
                  <from>
                    <xdr:col>2</xdr:col>
                    <xdr:colOff>19050</xdr:colOff>
                    <xdr:row>30</xdr:row>
                    <xdr:rowOff>0</xdr:rowOff>
                  </from>
                  <to>
                    <xdr:col>2</xdr:col>
                    <xdr:colOff>2914650</xdr:colOff>
                    <xdr:row>30</xdr:row>
                    <xdr:rowOff>180975</xdr:rowOff>
                  </to>
                </anchor>
              </controlPr>
            </control>
          </mc:Choice>
        </mc:AlternateContent>
        <mc:AlternateContent xmlns:mc="http://schemas.openxmlformats.org/markup-compatibility/2006">
          <mc:Choice Requires="x14">
            <control shapeId="1282" r:id="rId49" name="Option Button 258">
              <controlPr defaultSize="0" autoFill="0" autoLine="0" autoPict="0">
                <anchor moveWithCells="1">
                  <from>
                    <xdr:col>4</xdr:col>
                    <xdr:colOff>28575</xdr:colOff>
                    <xdr:row>28</xdr:row>
                    <xdr:rowOff>171450</xdr:rowOff>
                  </from>
                  <to>
                    <xdr:col>4</xdr:col>
                    <xdr:colOff>2962275</xdr:colOff>
                    <xdr:row>30</xdr:row>
                    <xdr:rowOff>0</xdr:rowOff>
                  </to>
                </anchor>
              </controlPr>
            </control>
          </mc:Choice>
        </mc:AlternateContent>
        <mc:AlternateContent xmlns:mc="http://schemas.openxmlformats.org/markup-compatibility/2006">
          <mc:Choice Requires="x14">
            <control shapeId="1283" r:id="rId50" name="Option Button 259">
              <controlPr defaultSize="0" autoFill="0" autoLine="0" autoPict="0">
                <anchor moveWithCells="1">
                  <from>
                    <xdr:col>4</xdr:col>
                    <xdr:colOff>28575</xdr:colOff>
                    <xdr:row>29</xdr:row>
                    <xdr:rowOff>171450</xdr:rowOff>
                  </from>
                  <to>
                    <xdr:col>4</xdr:col>
                    <xdr:colOff>2962275</xdr:colOff>
                    <xdr:row>31</xdr:row>
                    <xdr:rowOff>0</xdr:rowOff>
                  </to>
                </anchor>
              </controlPr>
            </control>
          </mc:Choice>
        </mc:AlternateContent>
        <mc:AlternateContent xmlns:mc="http://schemas.openxmlformats.org/markup-compatibility/2006">
          <mc:Choice Requires="x14">
            <control shapeId="1284" r:id="rId51" name="Option Button 260">
              <controlPr defaultSize="0" autoFill="0" autoLine="0" autoPict="0">
                <anchor moveWithCells="1">
                  <from>
                    <xdr:col>4</xdr:col>
                    <xdr:colOff>28575</xdr:colOff>
                    <xdr:row>30</xdr:row>
                    <xdr:rowOff>171450</xdr:rowOff>
                  </from>
                  <to>
                    <xdr:col>4</xdr:col>
                    <xdr:colOff>2962275</xdr:colOff>
                    <xdr:row>32</xdr:row>
                    <xdr:rowOff>0</xdr:rowOff>
                  </to>
                </anchor>
              </controlPr>
            </control>
          </mc:Choice>
        </mc:AlternateContent>
        <mc:AlternateContent xmlns:mc="http://schemas.openxmlformats.org/markup-compatibility/2006">
          <mc:Choice Requires="x14">
            <control shapeId="1287" r:id="rId52" name="Option Button 263">
              <controlPr defaultSize="0" autoFill="0" autoLine="0" autoPict="0">
                <anchor moveWithCells="1">
                  <from>
                    <xdr:col>2</xdr:col>
                    <xdr:colOff>19050</xdr:colOff>
                    <xdr:row>36</xdr:row>
                    <xdr:rowOff>9525</xdr:rowOff>
                  </from>
                  <to>
                    <xdr:col>2</xdr:col>
                    <xdr:colOff>3038475</xdr:colOff>
                    <xdr:row>37</xdr:row>
                    <xdr:rowOff>0</xdr:rowOff>
                  </to>
                </anchor>
              </controlPr>
            </control>
          </mc:Choice>
        </mc:AlternateContent>
        <mc:AlternateContent xmlns:mc="http://schemas.openxmlformats.org/markup-compatibility/2006">
          <mc:Choice Requires="x14">
            <control shapeId="1288" r:id="rId53" name="Option Button 264">
              <controlPr defaultSize="0" autoFill="0" autoLine="0" autoPict="0">
                <anchor moveWithCells="1">
                  <from>
                    <xdr:col>4</xdr:col>
                    <xdr:colOff>38100</xdr:colOff>
                    <xdr:row>35</xdr:row>
                    <xdr:rowOff>171450</xdr:rowOff>
                  </from>
                  <to>
                    <xdr:col>4</xdr:col>
                    <xdr:colOff>3067050</xdr:colOff>
                    <xdr:row>37</xdr:row>
                    <xdr:rowOff>9525</xdr:rowOff>
                  </to>
                </anchor>
              </controlPr>
            </control>
          </mc:Choice>
        </mc:AlternateContent>
        <mc:AlternateContent xmlns:mc="http://schemas.openxmlformats.org/markup-compatibility/2006">
          <mc:Choice Requires="x14">
            <control shapeId="1289" r:id="rId54" name="Option Button 265">
              <controlPr defaultSize="0" autoFill="0" autoLine="0" autoPict="0">
                <anchor moveWithCells="1">
                  <from>
                    <xdr:col>4</xdr:col>
                    <xdr:colOff>38100</xdr:colOff>
                    <xdr:row>36</xdr:row>
                    <xdr:rowOff>171450</xdr:rowOff>
                  </from>
                  <to>
                    <xdr:col>4</xdr:col>
                    <xdr:colOff>3067050</xdr:colOff>
                    <xdr:row>38</xdr:row>
                    <xdr:rowOff>9525</xdr:rowOff>
                  </to>
                </anchor>
              </controlPr>
            </control>
          </mc:Choice>
        </mc:AlternateContent>
        <mc:AlternateContent xmlns:mc="http://schemas.openxmlformats.org/markup-compatibility/2006">
          <mc:Choice Requires="x14">
            <control shapeId="1290" r:id="rId55" name="Option Button 266">
              <controlPr defaultSize="0" autoFill="0" autoLine="0" autoPict="0">
                <anchor moveWithCells="1">
                  <from>
                    <xdr:col>4</xdr:col>
                    <xdr:colOff>38100</xdr:colOff>
                    <xdr:row>37</xdr:row>
                    <xdr:rowOff>171450</xdr:rowOff>
                  </from>
                  <to>
                    <xdr:col>4</xdr:col>
                    <xdr:colOff>3067050</xdr:colOff>
                    <xdr:row>39</xdr:row>
                    <xdr:rowOff>9525</xdr:rowOff>
                  </to>
                </anchor>
              </controlPr>
            </control>
          </mc:Choice>
        </mc:AlternateContent>
        <mc:AlternateContent xmlns:mc="http://schemas.openxmlformats.org/markup-compatibility/2006">
          <mc:Choice Requires="x14">
            <control shapeId="1292" r:id="rId56" name="Option Button 268">
              <controlPr defaultSize="0" autoFill="0" autoLine="0" autoPict="0">
                <anchor moveWithCells="1">
                  <from>
                    <xdr:col>2</xdr:col>
                    <xdr:colOff>19050</xdr:colOff>
                    <xdr:row>42</xdr:row>
                    <xdr:rowOff>180975</xdr:rowOff>
                  </from>
                  <to>
                    <xdr:col>2</xdr:col>
                    <xdr:colOff>2571750</xdr:colOff>
                    <xdr:row>44</xdr:row>
                    <xdr:rowOff>19050</xdr:rowOff>
                  </to>
                </anchor>
              </controlPr>
            </control>
          </mc:Choice>
        </mc:AlternateContent>
        <mc:AlternateContent xmlns:mc="http://schemas.openxmlformats.org/markup-compatibility/2006">
          <mc:Choice Requires="x14">
            <control shapeId="1293" r:id="rId57" name="Option Button 269">
              <controlPr defaultSize="0" autoFill="0" autoLine="0" autoPict="0">
                <anchor moveWithCells="1">
                  <from>
                    <xdr:col>4</xdr:col>
                    <xdr:colOff>47625</xdr:colOff>
                    <xdr:row>42</xdr:row>
                    <xdr:rowOff>180975</xdr:rowOff>
                  </from>
                  <to>
                    <xdr:col>4</xdr:col>
                    <xdr:colOff>3219450</xdr:colOff>
                    <xdr:row>44</xdr:row>
                    <xdr:rowOff>9525</xdr:rowOff>
                  </to>
                </anchor>
              </controlPr>
            </control>
          </mc:Choice>
        </mc:AlternateContent>
        <mc:AlternateContent xmlns:mc="http://schemas.openxmlformats.org/markup-compatibility/2006">
          <mc:Choice Requires="x14">
            <control shapeId="1294" r:id="rId58" name="Option Button 270">
              <controlPr defaultSize="0" autoFill="0" autoLine="0" autoPict="0">
                <anchor moveWithCells="1">
                  <from>
                    <xdr:col>4</xdr:col>
                    <xdr:colOff>47625</xdr:colOff>
                    <xdr:row>43</xdr:row>
                    <xdr:rowOff>180975</xdr:rowOff>
                  </from>
                  <to>
                    <xdr:col>4</xdr:col>
                    <xdr:colOff>3219450</xdr:colOff>
                    <xdr:row>45</xdr:row>
                    <xdr:rowOff>9525</xdr:rowOff>
                  </to>
                </anchor>
              </controlPr>
            </control>
          </mc:Choice>
        </mc:AlternateContent>
        <mc:AlternateContent xmlns:mc="http://schemas.openxmlformats.org/markup-compatibility/2006">
          <mc:Choice Requires="x14">
            <control shapeId="1295" r:id="rId59" name="Option Button 271">
              <controlPr defaultSize="0" autoFill="0" autoLine="0" autoPict="0">
                <anchor moveWithCells="1">
                  <from>
                    <xdr:col>4</xdr:col>
                    <xdr:colOff>47625</xdr:colOff>
                    <xdr:row>44</xdr:row>
                    <xdr:rowOff>180975</xdr:rowOff>
                  </from>
                  <to>
                    <xdr:col>4</xdr:col>
                    <xdr:colOff>3219450</xdr:colOff>
                    <xdr:row>46</xdr:row>
                    <xdr:rowOff>9525</xdr:rowOff>
                  </to>
                </anchor>
              </controlPr>
            </control>
          </mc:Choice>
        </mc:AlternateContent>
        <mc:AlternateContent xmlns:mc="http://schemas.openxmlformats.org/markup-compatibility/2006">
          <mc:Choice Requires="x14">
            <control shapeId="1300" r:id="rId60" name="Option Button 276">
              <controlPr defaultSize="0" autoFill="0" autoLine="0" autoPict="0">
                <anchor moveWithCells="1">
                  <from>
                    <xdr:col>2</xdr:col>
                    <xdr:colOff>19050</xdr:colOff>
                    <xdr:row>49</xdr:row>
                    <xdr:rowOff>180975</xdr:rowOff>
                  </from>
                  <to>
                    <xdr:col>2</xdr:col>
                    <xdr:colOff>3257550</xdr:colOff>
                    <xdr:row>51</xdr:row>
                    <xdr:rowOff>9525</xdr:rowOff>
                  </to>
                </anchor>
              </controlPr>
            </control>
          </mc:Choice>
        </mc:AlternateContent>
        <mc:AlternateContent xmlns:mc="http://schemas.openxmlformats.org/markup-compatibility/2006">
          <mc:Choice Requires="x14">
            <control shapeId="1301" r:id="rId61" name="Option Button 277">
              <controlPr defaultSize="0" autoFill="0" autoLine="0" autoPict="0">
                <anchor moveWithCells="1">
                  <from>
                    <xdr:col>2</xdr:col>
                    <xdr:colOff>19050</xdr:colOff>
                    <xdr:row>50</xdr:row>
                    <xdr:rowOff>180975</xdr:rowOff>
                  </from>
                  <to>
                    <xdr:col>2</xdr:col>
                    <xdr:colOff>3257550</xdr:colOff>
                    <xdr:row>52</xdr:row>
                    <xdr:rowOff>9525</xdr:rowOff>
                  </to>
                </anchor>
              </controlPr>
            </control>
          </mc:Choice>
        </mc:AlternateContent>
        <mc:AlternateContent xmlns:mc="http://schemas.openxmlformats.org/markup-compatibility/2006">
          <mc:Choice Requires="x14">
            <control shapeId="1302" r:id="rId62" name="Option Button 278">
              <controlPr defaultSize="0" autoFill="0" autoLine="0" autoPict="0">
                <anchor moveWithCells="1">
                  <from>
                    <xdr:col>4</xdr:col>
                    <xdr:colOff>66675</xdr:colOff>
                    <xdr:row>49</xdr:row>
                    <xdr:rowOff>171450</xdr:rowOff>
                  </from>
                  <to>
                    <xdr:col>4</xdr:col>
                    <xdr:colOff>3171825</xdr:colOff>
                    <xdr:row>51</xdr:row>
                    <xdr:rowOff>9525</xdr:rowOff>
                  </to>
                </anchor>
              </controlPr>
            </control>
          </mc:Choice>
        </mc:AlternateContent>
        <mc:AlternateContent xmlns:mc="http://schemas.openxmlformats.org/markup-compatibility/2006">
          <mc:Choice Requires="x14">
            <control shapeId="1303" r:id="rId63" name="Option Button 279">
              <controlPr defaultSize="0" autoFill="0" autoLine="0" autoPict="0">
                <anchor moveWithCells="1">
                  <from>
                    <xdr:col>4</xdr:col>
                    <xdr:colOff>66675</xdr:colOff>
                    <xdr:row>50</xdr:row>
                    <xdr:rowOff>171450</xdr:rowOff>
                  </from>
                  <to>
                    <xdr:col>4</xdr:col>
                    <xdr:colOff>3171825</xdr:colOff>
                    <xdr:row>52</xdr:row>
                    <xdr:rowOff>9525</xdr:rowOff>
                  </to>
                </anchor>
              </controlPr>
            </control>
          </mc:Choice>
        </mc:AlternateContent>
        <mc:AlternateContent xmlns:mc="http://schemas.openxmlformats.org/markup-compatibility/2006">
          <mc:Choice Requires="x14">
            <control shapeId="1304" r:id="rId64" name="Option Button 280">
              <controlPr defaultSize="0" autoFill="0" autoLine="0" autoPict="0">
                <anchor moveWithCells="1">
                  <from>
                    <xdr:col>4</xdr:col>
                    <xdr:colOff>66675</xdr:colOff>
                    <xdr:row>51</xdr:row>
                    <xdr:rowOff>171450</xdr:rowOff>
                  </from>
                  <to>
                    <xdr:col>4</xdr:col>
                    <xdr:colOff>3171825</xdr:colOff>
                    <xdr:row>53</xdr:row>
                    <xdr:rowOff>9525</xdr:rowOff>
                  </to>
                </anchor>
              </controlPr>
            </control>
          </mc:Choice>
        </mc:AlternateContent>
        <mc:AlternateContent xmlns:mc="http://schemas.openxmlformats.org/markup-compatibility/2006">
          <mc:Choice Requires="x14">
            <control shapeId="1312" r:id="rId65" name="Check Box 288">
              <controlPr defaultSize="0" autoFill="0" autoLine="0" autoPict="0" altText="Biobased">
                <anchor moveWithCells="1">
                  <from>
                    <xdr:col>2</xdr:col>
                    <xdr:colOff>0</xdr:colOff>
                    <xdr:row>58</xdr:row>
                    <xdr:rowOff>171450</xdr:rowOff>
                  </from>
                  <to>
                    <xdr:col>2</xdr:col>
                    <xdr:colOff>1962150</xdr:colOff>
                    <xdr:row>60</xdr:row>
                    <xdr:rowOff>28575</xdr:rowOff>
                  </to>
                </anchor>
              </controlPr>
            </control>
          </mc:Choice>
        </mc:AlternateContent>
        <mc:AlternateContent xmlns:mc="http://schemas.openxmlformats.org/markup-compatibility/2006">
          <mc:Choice Requires="x14">
            <control shapeId="1314" r:id="rId66" name="Check Box 290">
              <controlPr defaultSize="0" autoFill="0" autoLine="0" autoPict="0" altText="Biobased">
                <anchor moveWithCells="1">
                  <from>
                    <xdr:col>2</xdr:col>
                    <xdr:colOff>0</xdr:colOff>
                    <xdr:row>60</xdr:row>
                    <xdr:rowOff>171450</xdr:rowOff>
                  </from>
                  <to>
                    <xdr:col>2</xdr:col>
                    <xdr:colOff>1962150</xdr:colOff>
                    <xdr:row>62</xdr:row>
                    <xdr:rowOff>28575</xdr:rowOff>
                  </to>
                </anchor>
              </controlPr>
            </control>
          </mc:Choice>
        </mc:AlternateContent>
        <mc:AlternateContent xmlns:mc="http://schemas.openxmlformats.org/markup-compatibility/2006">
          <mc:Choice Requires="x14">
            <control shapeId="1316" r:id="rId67" name="Check Box 292">
              <controlPr defaultSize="0" autoFill="0" autoLine="0" autoPict="0" altText="Biobased">
                <anchor moveWithCells="1">
                  <from>
                    <xdr:col>2</xdr:col>
                    <xdr:colOff>0</xdr:colOff>
                    <xdr:row>62</xdr:row>
                    <xdr:rowOff>171450</xdr:rowOff>
                  </from>
                  <to>
                    <xdr:col>2</xdr:col>
                    <xdr:colOff>1962150</xdr:colOff>
                    <xdr:row>64</xdr:row>
                    <xdr:rowOff>28575</xdr:rowOff>
                  </to>
                </anchor>
              </controlPr>
            </control>
          </mc:Choice>
        </mc:AlternateContent>
        <mc:AlternateContent xmlns:mc="http://schemas.openxmlformats.org/markup-compatibility/2006">
          <mc:Choice Requires="x14">
            <control shapeId="1317" r:id="rId68" name="Option Button 293">
              <controlPr defaultSize="0" autoFill="0" autoLine="0" autoPict="0">
                <anchor moveWithCells="1">
                  <from>
                    <xdr:col>4</xdr:col>
                    <xdr:colOff>47625</xdr:colOff>
                    <xdr:row>119</xdr:row>
                    <xdr:rowOff>180975</xdr:rowOff>
                  </from>
                  <to>
                    <xdr:col>4</xdr:col>
                    <xdr:colOff>3000375</xdr:colOff>
                    <xdr:row>121</xdr:row>
                    <xdr:rowOff>19050</xdr:rowOff>
                  </to>
                </anchor>
              </controlPr>
            </control>
          </mc:Choice>
        </mc:AlternateContent>
        <mc:AlternateContent xmlns:mc="http://schemas.openxmlformats.org/markup-compatibility/2006">
          <mc:Choice Requires="x14">
            <control shapeId="1318" r:id="rId69" name="Option Button 294">
              <controlPr defaultSize="0" autoFill="0" autoLine="0" autoPict="0">
                <anchor moveWithCells="1">
                  <from>
                    <xdr:col>4</xdr:col>
                    <xdr:colOff>47625</xdr:colOff>
                    <xdr:row>120</xdr:row>
                    <xdr:rowOff>180975</xdr:rowOff>
                  </from>
                  <to>
                    <xdr:col>4</xdr:col>
                    <xdr:colOff>3000375</xdr:colOff>
                    <xdr:row>122</xdr:row>
                    <xdr:rowOff>19050</xdr:rowOff>
                  </to>
                </anchor>
              </controlPr>
            </control>
          </mc:Choice>
        </mc:AlternateContent>
        <mc:AlternateContent xmlns:mc="http://schemas.openxmlformats.org/markup-compatibility/2006">
          <mc:Choice Requires="x14">
            <control shapeId="1319" r:id="rId70" name="Group Box 295">
              <controlPr defaultSize="0" autoFill="0" autoPict="0">
                <anchor moveWithCells="1">
                  <from>
                    <xdr:col>4</xdr:col>
                    <xdr:colOff>0</xdr:colOff>
                    <xdr:row>119</xdr:row>
                    <xdr:rowOff>0</xdr:rowOff>
                  </from>
                  <to>
                    <xdr:col>5</xdr:col>
                    <xdr:colOff>0</xdr:colOff>
                    <xdr:row>123</xdr:row>
                    <xdr:rowOff>95250</xdr:rowOff>
                  </to>
                </anchor>
              </controlPr>
            </control>
          </mc:Choice>
        </mc:AlternateContent>
        <mc:AlternateContent xmlns:mc="http://schemas.openxmlformats.org/markup-compatibility/2006">
          <mc:Choice Requires="x14">
            <control shapeId="1320" r:id="rId71" name="Option Button 296">
              <controlPr defaultSize="0" autoFill="0" autoLine="0" autoPict="0">
                <anchor moveWithCells="1">
                  <from>
                    <xdr:col>4</xdr:col>
                    <xdr:colOff>47625</xdr:colOff>
                    <xdr:row>121</xdr:row>
                    <xdr:rowOff>180975</xdr:rowOff>
                  </from>
                  <to>
                    <xdr:col>4</xdr:col>
                    <xdr:colOff>3000375</xdr:colOff>
                    <xdr:row>123</xdr:row>
                    <xdr:rowOff>19050</xdr:rowOff>
                  </to>
                </anchor>
              </controlPr>
            </control>
          </mc:Choice>
        </mc:AlternateContent>
        <mc:AlternateContent xmlns:mc="http://schemas.openxmlformats.org/markup-compatibility/2006">
          <mc:Choice Requires="x14">
            <control shapeId="1321" r:id="rId72" name="Option Button 297">
              <controlPr defaultSize="0" autoFill="0" autoLine="0" autoPict="0">
                <anchor moveWithCells="1">
                  <from>
                    <xdr:col>2</xdr:col>
                    <xdr:colOff>66675</xdr:colOff>
                    <xdr:row>146</xdr:row>
                    <xdr:rowOff>180975</xdr:rowOff>
                  </from>
                  <to>
                    <xdr:col>2</xdr:col>
                    <xdr:colOff>2962275</xdr:colOff>
                    <xdr:row>148</xdr:row>
                    <xdr:rowOff>9525</xdr:rowOff>
                  </to>
                </anchor>
              </controlPr>
            </control>
          </mc:Choice>
        </mc:AlternateContent>
        <mc:AlternateContent xmlns:mc="http://schemas.openxmlformats.org/markup-compatibility/2006">
          <mc:Choice Requires="x14">
            <control shapeId="1322" r:id="rId73" name="Option Button 298">
              <controlPr defaultSize="0" autoFill="0" autoLine="0" autoPict="0">
                <anchor moveWithCells="1">
                  <from>
                    <xdr:col>2</xdr:col>
                    <xdr:colOff>66675</xdr:colOff>
                    <xdr:row>147</xdr:row>
                    <xdr:rowOff>180975</xdr:rowOff>
                  </from>
                  <to>
                    <xdr:col>2</xdr:col>
                    <xdr:colOff>3095625</xdr:colOff>
                    <xdr:row>149</xdr:row>
                    <xdr:rowOff>9525</xdr:rowOff>
                  </to>
                </anchor>
              </controlPr>
            </control>
          </mc:Choice>
        </mc:AlternateContent>
        <mc:AlternateContent xmlns:mc="http://schemas.openxmlformats.org/markup-compatibility/2006">
          <mc:Choice Requires="x14">
            <control shapeId="1323" r:id="rId74" name="Option Button 299">
              <controlPr defaultSize="0" autoFill="0" autoLine="0" autoPict="0">
                <anchor moveWithCells="1">
                  <from>
                    <xdr:col>2</xdr:col>
                    <xdr:colOff>66675</xdr:colOff>
                    <xdr:row>148</xdr:row>
                    <xdr:rowOff>180975</xdr:rowOff>
                  </from>
                  <to>
                    <xdr:col>2</xdr:col>
                    <xdr:colOff>3076575</xdr:colOff>
                    <xdr:row>150</xdr:row>
                    <xdr:rowOff>9525</xdr:rowOff>
                  </to>
                </anchor>
              </controlPr>
            </control>
          </mc:Choice>
        </mc:AlternateContent>
        <mc:AlternateContent xmlns:mc="http://schemas.openxmlformats.org/markup-compatibility/2006">
          <mc:Choice Requires="x14">
            <control shapeId="1324" r:id="rId75" name="Option Button 300">
              <controlPr defaultSize="0" autoFill="0" autoLine="0" autoPict="0">
                <anchor moveWithCells="1">
                  <from>
                    <xdr:col>2</xdr:col>
                    <xdr:colOff>66675</xdr:colOff>
                    <xdr:row>149</xdr:row>
                    <xdr:rowOff>180975</xdr:rowOff>
                  </from>
                  <to>
                    <xdr:col>2</xdr:col>
                    <xdr:colOff>3152775</xdr:colOff>
                    <xdr:row>151</xdr:row>
                    <xdr:rowOff>9525</xdr:rowOff>
                  </to>
                </anchor>
              </controlPr>
            </control>
          </mc:Choice>
        </mc:AlternateContent>
        <mc:AlternateContent xmlns:mc="http://schemas.openxmlformats.org/markup-compatibility/2006">
          <mc:Choice Requires="x14">
            <control shapeId="1325" r:id="rId76" name="Option Button 301">
              <controlPr defaultSize="0" autoFill="0" autoLine="0" autoPict="0">
                <anchor moveWithCells="1">
                  <from>
                    <xdr:col>2</xdr:col>
                    <xdr:colOff>66675</xdr:colOff>
                    <xdr:row>150</xdr:row>
                    <xdr:rowOff>180975</xdr:rowOff>
                  </from>
                  <to>
                    <xdr:col>2</xdr:col>
                    <xdr:colOff>3019425</xdr:colOff>
                    <xdr:row>152</xdr:row>
                    <xdr:rowOff>9525</xdr:rowOff>
                  </to>
                </anchor>
              </controlPr>
            </control>
          </mc:Choice>
        </mc:AlternateContent>
        <mc:AlternateContent xmlns:mc="http://schemas.openxmlformats.org/markup-compatibility/2006">
          <mc:Choice Requires="x14">
            <control shapeId="1327" r:id="rId77" name="Group Box 303">
              <controlPr defaultSize="0" autoFill="0" autoPict="0">
                <anchor moveWithCells="1">
                  <from>
                    <xdr:col>2</xdr:col>
                    <xdr:colOff>9525</xdr:colOff>
                    <xdr:row>146</xdr:row>
                    <xdr:rowOff>0</xdr:rowOff>
                  </from>
                  <to>
                    <xdr:col>3</xdr:col>
                    <xdr:colOff>9525</xdr:colOff>
                    <xdr:row>152</xdr:row>
                    <xdr:rowOff>76200</xdr:rowOff>
                  </to>
                </anchor>
              </controlPr>
            </control>
          </mc:Choice>
        </mc:AlternateContent>
        <mc:AlternateContent xmlns:mc="http://schemas.openxmlformats.org/markup-compatibility/2006">
          <mc:Choice Requires="x14">
            <control shapeId="1328" r:id="rId78" name="Option Button 304">
              <controlPr defaultSize="0" autoFill="0" autoLine="0" autoPict="0">
                <anchor moveWithCells="1">
                  <from>
                    <xdr:col>2</xdr:col>
                    <xdr:colOff>85725</xdr:colOff>
                    <xdr:row>158</xdr:row>
                    <xdr:rowOff>180975</xdr:rowOff>
                  </from>
                  <to>
                    <xdr:col>2</xdr:col>
                    <xdr:colOff>3181350</xdr:colOff>
                    <xdr:row>160</xdr:row>
                    <xdr:rowOff>9525</xdr:rowOff>
                  </to>
                </anchor>
              </controlPr>
            </control>
          </mc:Choice>
        </mc:AlternateContent>
        <mc:AlternateContent xmlns:mc="http://schemas.openxmlformats.org/markup-compatibility/2006">
          <mc:Choice Requires="x14">
            <control shapeId="1329" r:id="rId79" name="Option Button 305">
              <controlPr defaultSize="0" autoFill="0" autoLine="0" autoPict="0">
                <anchor moveWithCells="1">
                  <from>
                    <xdr:col>2</xdr:col>
                    <xdr:colOff>85725</xdr:colOff>
                    <xdr:row>159</xdr:row>
                    <xdr:rowOff>180975</xdr:rowOff>
                  </from>
                  <to>
                    <xdr:col>2</xdr:col>
                    <xdr:colOff>3181350</xdr:colOff>
                    <xdr:row>161</xdr:row>
                    <xdr:rowOff>9525</xdr:rowOff>
                  </to>
                </anchor>
              </controlPr>
            </control>
          </mc:Choice>
        </mc:AlternateContent>
        <mc:AlternateContent xmlns:mc="http://schemas.openxmlformats.org/markup-compatibility/2006">
          <mc:Choice Requires="x14">
            <control shapeId="1330" r:id="rId80" name="Group Box 306">
              <controlPr defaultSize="0" autoFill="0" autoPict="0">
                <anchor moveWithCells="1">
                  <from>
                    <xdr:col>2</xdr:col>
                    <xdr:colOff>9525</xdr:colOff>
                    <xdr:row>158</xdr:row>
                    <xdr:rowOff>9525</xdr:rowOff>
                  </from>
                  <to>
                    <xdr:col>3</xdr:col>
                    <xdr:colOff>0</xdr:colOff>
                    <xdr:row>161</xdr:row>
                    <xdr:rowOff>76200</xdr:rowOff>
                  </to>
                </anchor>
              </controlPr>
            </control>
          </mc:Choice>
        </mc:AlternateContent>
        <mc:AlternateContent xmlns:mc="http://schemas.openxmlformats.org/markup-compatibility/2006">
          <mc:Choice Requires="x14">
            <control shapeId="1331" r:id="rId81" name="Option Button 307">
              <controlPr defaultSize="0" autoFill="0" autoLine="0" autoPict="0">
                <anchor moveWithCells="1">
                  <from>
                    <xdr:col>4</xdr:col>
                    <xdr:colOff>85725</xdr:colOff>
                    <xdr:row>158</xdr:row>
                    <xdr:rowOff>180975</xdr:rowOff>
                  </from>
                  <to>
                    <xdr:col>4</xdr:col>
                    <xdr:colOff>2781300</xdr:colOff>
                    <xdr:row>160</xdr:row>
                    <xdr:rowOff>9525</xdr:rowOff>
                  </to>
                </anchor>
              </controlPr>
            </control>
          </mc:Choice>
        </mc:AlternateContent>
        <mc:AlternateContent xmlns:mc="http://schemas.openxmlformats.org/markup-compatibility/2006">
          <mc:Choice Requires="x14">
            <control shapeId="1332" r:id="rId82" name="Option Button 308">
              <controlPr defaultSize="0" autoFill="0" autoLine="0" autoPict="0">
                <anchor moveWithCells="1">
                  <from>
                    <xdr:col>4</xdr:col>
                    <xdr:colOff>85725</xdr:colOff>
                    <xdr:row>159</xdr:row>
                    <xdr:rowOff>180975</xdr:rowOff>
                  </from>
                  <to>
                    <xdr:col>4</xdr:col>
                    <xdr:colOff>2781300</xdr:colOff>
                    <xdr:row>161</xdr:row>
                    <xdr:rowOff>9525</xdr:rowOff>
                  </to>
                </anchor>
              </controlPr>
            </control>
          </mc:Choice>
        </mc:AlternateContent>
        <mc:AlternateContent xmlns:mc="http://schemas.openxmlformats.org/markup-compatibility/2006">
          <mc:Choice Requires="x14">
            <control shapeId="1333" r:id="rId83" name="Option Button 309">
              <controlPr defaultSize="0" autoFill="0" autoLine="0" autoPict="0">
                <anchor moveWithCells="1">
                  <from>
                    <xdr:col>4</xdr:col>
                    <xdr:colOff>85725</xdr:colOff>
                    <xdr:row>160</xdr:row>
                    <xdr:rowOff>180975</xdr:rowOff>
                  </from>
                  <to>
                    <xdr:col>4</xdr:col>
                    <xdr:colOff>2781300</xdr:colOff>
                    <xdr:row>162</xdr:row>
                    <xdr:rowOff>9525</xdr:rowOff>
                  </to>
                </anchor>
              </controlPr>
            </control>
          </mc:Choice>
        </mc:AlternateContent>
        <mc:AlternateContent xmlns:mc="http://schemas.openxmlformats.org/markup-compatibility/2006">
          <mc:Choice Requires="x14">
            <control shapeId="1334" r:id="rId84" name="Group Box 310">
              <controlPr defaultSize="0" autoFill="0" autoPict="0">
                <anchor moveWithCells="1">
                  <from>
                    <xdr:col>4</xdr:col>
                    <xdr:colOff>0</xdr:colOff>
                    <xdr:row>158</xdr:row>
                    <xdr:rowOff>0</xdr:rowOff>
                  </from>
                  <to>
                    <xdr:col>4</xdr:col>
                    <xdr:colOff>3257550</xdr:colOff>
                    <xdr:row>162</xdr:row>
                    <xdr:rowOff>85725</xdr:rowOff>
                  </to>
                </anchor>
              </controlPr>
            </control>
          </mc:Choice>
        </mc:AlternateContent>
        <mc:AlternateContent xmlns:mc="http://schemas.openxmlformats.org/markup-compatibility/2006">
          <mc:Choice Requires="x14">
            <control shapeId="1335" r:id="rId85" name="Option Button 311">
              <controlPr defaultSize="0" autoFill="0" autoLine="0" autoPict="0">
                <anchor moveWithCells="1">
                  <from>
                    <xdr:col>4</xdr:col>
                    <xdr:colOff>95250</xdr:colOff>
                    <xdr:row>147</xdr:row>
                    <xdr:rowOff>0</xdr:rowOff>
                  </from>
                  <to>
                    <xdr:col>4</xdr:col>
                    <xdr:colOff>2838450</xdr:colOff>
                    <xdr:row>148</xdr:row>
                    <xdr:rowOff>19050</xdr:rowOff>
                  </to>
                </anchor>
              </controlPr>
            </control>
          </mc:Choice>
        </mc:AlternateContent>
        <mc:AlternateContent xmlns:mc="http://schemas.openxmlformats.org/markup-compatibility/2006">
          <mc:Choice Requires="x14">
            <control shapeId="1336" r:id="rId86" name="Option Button 312">
              <controlPr defaultSize="0" autoFill="0" autoLine="0" autoPict="0">
                <anchor moveWithCells="1">
                  <from>
                    <xdr:col>4</xdr:col>
                    <xdr:colOff>95250</xdr:colOff>
                    <xdr:row>148</xdr:row>
                    <xdr:rowOff>0</xdr:rowOff>
                  </from>
                  <to>
                    <xdr:col>4</xdr:col>
                    <xdr:colOff>2838450</xdr:colOff>
                    <xdr:row>149</xdr:row>
                    <xdr:rowOff>19050</xdr:rowOff>
                  </to>
                </anchor>
              </controlPr>
            </control>
          </mc:Choice>
        </mc:AlternateContent>
        <mc:AlternateContent xmlns:mc="http://schemas.openxmlformats.org/markup-compatibility/2006">
          <mc:Choice Requires="x14">
            <control shapeId="1337" r:id="rId87" name="Option Button 313">
              <controlPr defaultSize="0" autoFill="0" autoLine="0" autoPict="0">
                <anchor moveWithCells="1">
                  <from>
                    <xdr:col>4</xdr:col>
                    <xdr:colOff>95250</xdr:colOff>
                    <xdr:row>149</xdr:row>
                    <xdr:rowOff>0</xdr:rowOff>
                  </from>
                  <to>
                    <xdr:col>4</xdr:col>
                    <xdr:colOff>2838450</xdr:colOff>
                    <xdr:row>150</xdr:row>
                    <xdr:rowOff>19050</xdr:rowOff>
                  </to>
                </anchor>
              </controlPr>
            </control>
          </mc:Choice>
        </mc:AlternateContent>
        <mc:AlternateContent xmlns:mc="http://schemas.openxmlformats.org/markup-compatibility/2006">
          <mc:Choice Requires="x14">
            <control shapeId="1339" r:id="rId88" name="Group Box 315">
              <controlPr defaultSize="0" autoFill="0" autoPict="0">
                <anchor moveWithCells="1">
                  <from>
                    <xdr:col>4</xdr:col>
                    <xdr:colOff>0</xdr:colOff>
                    <xdr:row>146</xdr:row>
                    <xdr:rowOff>0</xdr:rowOff>
                  </from>
                  <to>
                    <xdr:col>5</xdr:col>
                    <xdr:colOff>0</xdr:colOff>
                    <xdr:row>150</xdr:row>
                    <xdr:rowOff>104775</xdr:rowOff>
                  </to>
                </anchor>
              </controlPr>
            </control>
          </mc:Choice>
        </mc:AlternateContent>
        <mc:AlternateContent xmlns:mc="http://schemas.openxmlformats.org/markup-compatibility/2006">
          <mc:Choice Requires="x14">
            <control shapeId="1340" r:id="rId89" name="Option Button 316">
              <controlPr defaultSize="0" autoFill="0" autoLine="0" autoPict="0">
                <anchor moveWithCells="1">
                  <from>
                    <xdr:col>2</xdr:col>
                    <xdr:colOff>85725</xdr:colOff>
                    <xdr:row>165</xdr:row>
                    <xdr:rowOff>142875</xdr:rowOff>
                  </from>
                  <to>
                    <xdr:col>2</xdr:col>
                    <xdr:colOff>2847975</xdr:colOff>
                    <xdr:row>165</xdr:row>
                    <xdr:rowOff>390525</xdr:rowOff>
                  </to>
                </anchor>
              </controlPr>
            </control>
          </mc:Choice>
        </mc:AlternateContent>
        <mc:AlternateContent xmlns:mc="http://schemas.openxmlformats.org/markup-compatibility/2006">
          <mc:Choice Requires="x14">
            <control shapeId="1342" r:id="rId90" name="Option Button 318">
              <controlPr defaultSize="0" autoFill="0" autoLine="0" autoPict="0">
                <anchor moveWithCells="1">
                  <from>
                    <xdr:col>2</xdr:col>
                    <xdr:colOff>85725</xdr:colOff>
                    <xdr:row>165</xdr:row>
                    <xdr:rowOff>352425</xdr:rowOff>
                  </from>
                  <to>
                    <xdr:col>2</xdr:col>
                    <xdr:colOff>2990850</xdr:colOff>
                    <xdr:row>166</xdr:row>
                    <xdr:rowOff>0</xdr:rowOff>
                  </to>
                </anchor>
              </controlPr>
            </control>
          </mc:Choice>
        </mc:AlternateContent>
        <mc:AlternateContent xmlns:mc="http://schemas.openxmlformats.org/markup-compatibility/2006">
          <mc:Choice Requires="x14">
            <control shapeId="1343" r:id="rId91" name="Group Box 319">
              <controlPr defaultSize="0" autoFill="0" autoPict="0">
                <anchor moveWithCells="1">
                  <from>
                    <xdr:col>2</xdr:col>
                    <xdr:colOff>9525</xdr:colOff>
                    <xdr:row>165</xdr:row>
                    <xdr:rowOff>9525</xdr:rowOff>
                  </from>
                  <to>
                    <xdr:col>3</xdr:col>
                    <xdr:colOff>0</xdr:colOff>
                    <xdr:row>166</xdr:row>
                    <xdr:rowOff>76200</xdr:rowOff>
                  </to>
                </anchor>
              </controlPr>
            </control>
          </mc:Choice>
        </mc:AlternateContent>
        <mc:AlternateContent xmlns:mc="http://schemas.openxmlformats.org/markup-compatibility/2006">
          <mc:Choice Requires="x14">
            <control shapeId="1344" r:id="rId92" name="Option Button 320">
              <controlPr defaultSize="0" autoFill="0" autoLine="0" autoPict="0">
                <anchor moveWithCells="1">
                  <from>
                    <xdr:col>2</xdr:col>
                    <xdr:colOff>95250</xdr:colOff>
                    <xdr:row>168</xdr:row>
                    <xdr:rowOff>180975</xdr:rowOff>
                  </from>
                  <to>
                    <xdr:col>2</xdr:col>
                    <xdr:colOff>2905125</xdr:colOff>
                    <xdr:row>169</xdr:row>
                    <xdr:rowOff>9525</xdr:rowOff>
                  </to>
                </anchor>
              </controlPr>
            </control>
          </mc:Choice>
        </mc:AlternateContent>
        <mc:AlternateContent xmlns:mc="http://schemas.openxmlformats.org/markup-compatibility/2006">
          <mc:Choice Requires="x14">
            <control shapeId="1345" r:id="rId93" name="Option Button 321">
              <controlPr defaultSize="0" autoFill="0" autoLine="0" autoPict="0">
                <anchor moveWithCells="1">
                  <from>
                    <xdr:col>2</xdr:col>
                    <xdr:colOff>95250</xdr:colOff>
                    <xdr:row>169</xdr:row>
                    <xdr:rowOff>0</xdr:rowOff>
                  </from>
                  <to>
                    <xdr:col>2</xdr:col>
                    <xdr:colOff>2933700</xdr:colOff>
                    <xdr:row>170</xdr:row>
                    <xdr:rowOff>19050</xdr:rowOff>
                  </to>
                </anchor>
              </controlPr>
            </control>
          </mc:Choice>
        </mc:AlternateContent>
        <mc:AlternateContent xmlns:mc="http://schemas.openxmlformats.org/markup-compatibility/2006">
          <mc:Choice Requires="x14">
            <control shapeId="1346" r:id="rId94" name="Group Box 322">
              <controlPr defaultSize="0" autoFill="0" autoPict="0">
                <anchor moveWithCells="1">
                  <from>
                    <xdr:col>2</xdr:col>
                    <xdr:colOff>9525</xdr:colOff>
                    <xdr:row>168</xdr:row>
                    <xdr:rowOff>0</xdr:rowOff>
                  </from>
                  <to>
                    <xdr:col>3</xdr:col>
                    <xdr:colOff>0</xdr:colOff>
                    <xdr:row>170</xdr:row>
                    <xdr:rowOff>85725</xdr:rowOff>
                  </to>
                </anchor>
              </controlPr>
            </control>
          </mc:Choice>
        </mc:AlternateContent>
        <mc:AlternateContent xmlns:mc="http://schemas.openxmlformats.org/markup-compatibility/2006">
          <mc:Choice Requires="x14">
            <control shapeId="1347" r:id="rId95" name="Option Button 323">
              <controlPr defaultSize="0" autoFill="0" autoLine="0" autoPict="0">
                <anchor moveWithCells="1">
                  <from>
                    <xdr:col>2</xdr:col>
                    <xdr:colOff>104775</xdr:colOff>
                    <xdr:row>172</xdr:row>
                    <xdr:rowOff>171450</xdr:rowOff>
                  </from>
                  <to>
                    <xdr:col>2</xdr:col>
                    <xdr:colOff>2819400</xdr:colOff>
                    <xdr:row>173</xdr:row>
                    <xdr:rowOff>9525</xdr:rowOff>
                  </to>
                </anchor>
              </controlPr>
            </control>
          </mc:Choice>
        </mc:AlternateContent>
        <mc:AlternateContent xmlns:mc="http://schemas.openxmlformats.org/markup-compatibility/2006">
          <mc:Choice Requires="x14">
            <control shapeId="1348" r:id="rId96" name="Option Button 324">
              <controlPr defaultSize="0" autoFill="0" autoLine="0" autoPict="0">
                <anchor moveWithCells="1">
                  <from>
                    <xdr:col>2</xdr:col>
                    <xdr:colOff>104775</xdr:colOff>
                    <xdr:row>173</xdr:row>
                    <xdr:rowOff>0</xdr:rowOff>
                  </from>
                  <to>
                    <xdr:col>2</xdr:col>
                    <xdr:colOff>2819400</xdr:colOff>
                    <xdr:row>174</xdr:row>
                    <xdr:rowOff>47625</xdr:rowOff>
                  </to>
                </anchor>
              </controlPr>
            </control>
          </mc:Choice>
        </mc:AlternateContent>
        <mc:AlternateContent xmlns:mc="http://schemas.openxmlformats.org/markup-compatibility/2006">
          <mc:Choice Requires="x14">
            <control shapeId="1349" r:id="rId97" name="Group Box 325">
              <controlPr defaultSize="0" autoFill="0" autoPict="0">
                <anchor moveWithCells="1">
                  <from>
                    <xdr:col>2</xdr:col>
                    <xdr:colOff>9525</xdr:colOff>
                    <xdr:row>172</xdr:row>
                    <xdr:rowOff>9525</xdr:rowOff>
                  </from>
                  <to>
                    <xdr:col>3</xdr:col>
                    <xdr:colOff>0</xdr:colOff>
                    <xdr:row>174</xdr:row>
                    <xdr:rowOff>85725</xdr:rowOff>
                  </to>
                </anchor>
              </controlPr>
            </control>
          </mc:Choice>
        </mc:AlternateContent>
        <mc:AlternateContent xmlns:mc="http://schemas.openxmlformats.org/markup-compatibility/2006">
          <mc:Choice Requires="x14">
            <control shapeId="1350" r:id="rId98" name="Option Button 326">
              <controlPr defaultSize="0" autoFill="0" autoLine="0" autoPict="0">
                <anchor moveWithCells="1">
                  <from>
                    <xdr:col>2</xdr:col>
                    <xdr:colOff>114300</xdr:colOff>
                    <xdr:row>176</xdr:row>
                    <xdr:rowOff>180975</xdr:rowOff>
                  </from>
                  <to>
                    <xdr:col>2</xdr:col>
                    <xdr:colOff>2686050</xdr:colOff>
                    <xdr:row>177</xdr:row>
                    <xdr:rowOff>9525</xdr:rowOff>
                  </to>
                </anchor>
              </controlPr>
            </control>
          </mc:Choice>
        </mc:AlternateContent>
        <mc:AlternateContent xmlns:mc="http://schemas.openxmlformats.org/markup-compatibility/2006">
          <mc:Choice Requires="x14">
            <control shapeId="1351" r:id="rId99" name="Option Button 327">
              <controlPr defaultSize="0" autoFill="0" autoLine="0" autoPict="0">
                <anchor moveWithCells="1">
                  <from>
                    <xdr:col>2</xdr:col>
                    <xdr:colOff>114300</xdr:colOff>
                    <xdr:row>177</xdr:row>
                    <xdr:rowOff>0</xdr:rowOff>
                  </from>
                  <to>
                    <xdr:col>2</xdr:col>
                    <xdr:colOff>2686050</xdr:colOff>
                    <xdr:row>178</xdr:row>
                    <xdr:rowOff>19050</xdr:rowOff>
                  </to>
                </anchor>
              </controlPr>
            </control>
          </mc:Choice>
        </mc:AlternateContent>
        <mc:AlternateContent xmlns:mc="http://schemas.openxmlformats.org/markup-compatibility/2006">
          <mc:Choice Requires="x14">
            <control shapeId="1353" r:id="rId100" name="Group Box 329">
              <controlPr defaultSize="0" autoFill="0" autoPict="0">
                <anchor moveWithCells="1">
                  <from>
                    <xdr:col>2</xdr:col>
                    <xdr:colOff>0</xdr:colOff>
                    <xdr:row>176</xdr:row>
                    <xdr:rowOff>0</xdr:rowOff>
                  </from>
                  <to>
                    <xdr:col>3</xdr:col>
                    <xdr:colOff>9525</xdr:colOff>
                    <xdr:row>178</xdr:row>
                    <xdr:rowOff>57150</xdr:rowOff>
                  </to>
                </anchor>
              </controlPr>
            </control>
          </mc:Choice>
        </mc:AlternateContent>
        <mc:AlternateContent xmlns:mc="http://schemas.openxmlformats.org/markup-compatibility/2006">
          <mc:Choice Requires="x14">
            <control shapeId="1356" r:id="rId101" name="Option Button 332">
              <controlPr defaultSize="0" autoFill="0" autoLine="0" autoPict="0">
                <anchor moveWithCells="1">
                  <from>
                    <xdr:col>2</xdr:col>
                    <xdr:colOff>85725</xdr:colOff>
                    <xdr:row>68</xdr:row>
                    <xdr:rowOff>390525</xdr:rowOff>
                  </from>
                  <to>
                    <xdr:col>2</xdr:col>
                    <xdr:colOff>2990850</xdr:colOff>
                    <xdr:row>68</xdr:row>
                    <xdr:rowOff>609600</xdr:rowOff>
                  </to>
                </anchor>
              </controlPr>
            </control>
          </mc:Choice>
        </mc:AlternateContent>
        <mc:AlternateContent xmlns:mc="http://schemas.openxmlformats.org/markup-compatibility/2006">
          <mc:Choice Requires="x14">
            <control shapeId="1357" r:id="rId102" name="Option Button 333">
              <controlPr defaultSize="0" autoFill="0" autoLine="0" autoPict="0">
                <anchor moveWithCells="1">
                  <from>
                    <xdr:col>2</xdr:col>
                    <xdr:colOff>85725</xdr:colOff>
                    <xdr:row>68</xdr:row>
                    <xdr:rowOff>590550</xdr:rowOff>
                  </from>
                  <to>
                    <xdr:col>2</xdr:col>
                    <xdr:colOff>2990850</xdr:colOff>
                    <xdr:row>68</xdr:row>
                    <xdr:rowOff>809625</xdr:rowOff>
                  </to>
                </anchor>
              </controlPr>
            </control>
          </mc:Choice>
        </mc:AlternateContent>
        <mc:AlternateContent xmlns:mc="http://schemas.openxmlformats.org/markup-compatibility/2006">
          <mc:Choice Requires="x14">
            <control shapeId="1359" r:id="rId103" name="Group Box 335">
              <controlPr defaultSize="0" autoFill="0" autoPict="0">
                <anchor moveWithCells="1">
                  <from>
                    <xdr:col>2</xdr:col>
                    <xdr:colOff>0</xdr:colOff>
                    <xdr:row>68</xdr:row>
                    <xdr:rowOff>228600</xdr:rowOff>
                  </from>
                  <to>
                    <xdr:col>2</xdr:col>
                    <xdr:colOff>3343275</xdr:colOff>
                    <xdr:row>69</xdr:row>
                    <xdr:rowOff>9525</xdr:rowOff>
                  </to>
                </anchor>
              </controlPr>
            </control>
          </mc:Choice>
        </mc:AlternateContent>
        <mc:AlternateContent xmlns:mc="http://schemas.openxmlformats.org/markup-compatibility/2006">
          <mc:Choice Requires="x14">
            <control shapeId="1360" r:id="rId104" name="Option Button 336">
              <controlPr defaultSize="0" autoFill="0" autoLine="0" autoPict="0">
                <anchor moveWithCells="1">
                  <from>
                    <xdr:col>2</xdr:col>
                    <xdr:colOff>95250</xdr:colOff>
                    <xdr:row>71</xdr:row>
                    <xdr:rowOff>180975</xdr:rowOff>
                  </from>
                  <to>
                    <xdr:col>2</xdr:col>
                    <xdr:colOff>3019425</xdr:colOff>
                    <xdr:row>73</xdr:row>
                    <xdr:rowOff>19050</xdr:rowOff>
                  </to>
                </anchor>
              </controlPr>
            </control>
          </mc:Choice>
        </mc:AlternateContent>
        <mc:AlternateContent xmlns:mc="http://schemas.openxmlformats.org/markup-compatibility/2006">
          <mc:Choice Requires="x14">
            <control shapeId="1361" r:id="rId105" name="Option Button 337">
              <controlPr defaultSize="0" autoFill="0" autoLine="0" autoPict="0">
                <anchor moveWithCells="1">
                  <from>
                    <xdr:col>2</xdr:col>
                    <xdr:colOff>95250</xdr:colOff>
                    <xdr:row>72</xdr:row>
                    <xdr:rowOff>180975</xdr:rowOff>
                  </from>
                  <to>
                    <xdr:col>2</xdr:col>
                    <xdr:colOff>3019425</xdr:colOff>
                    <xdr:row>74</xdr:row>
                    <xdr:rowOff>19050</xdr:rowOff>
                  </to>
                </anchor>
              </controlPr>
            </control>
          </mc:Choice>
        </mc:AlternateContent>
        <mc:AlternateContent xmlns:mc="http://schemas.openxmlformats.org/markup-compatibility/2006">
          <mc:Choice Requires="x14">
            <control shapeId="1363" r:id="rId106" name="Group Box 339">
              <controlPr defaultSize="0" autoFill="0" autoPict="0">
                <anchor moveWithCells="1">
                  <from>
                    <xdr:col>2</xdr:col>
                    <xdr:colOff>0</xdr:colOff>
                    <xdr:row>71</xdr:row>
                    <xdr:rowOff>0</xdr:rowOff>
                  </from>
                  <to>
                    <xdr:col>3</xdr:col>
                    <xdr:colOff>0</xdr:colOff>
                    <xdr:row>74</xdr:row>
                    <xdr:rowOff>57150</xdr:rowOff>
                  </to>
                </anchor>
              </controlPr>
            </control>
          </mc:Choice>
        </mc:AlternateContent>
        <mc:AlternateContent xmlns:mc="http://schemas.openxmlformats.org/markup-compatibility/2006">
          <mc:Choice Requires="x14">
            <control shapeId="1364" r:id="rId107" name="Option Button 340">
              <controlPr defaultSize="0" autoFill="0" autoLine="0" autoPict="0">
                <anchor moveWithCells="1">
                  <from>
                    <xdr:col>2</xdr:col>
                    <xdr:colOff>114300</xdr:colOff>
                    <xdr:row>78</xdr:row>
                    <xdr:rowOff>180975</xdr:rowOff>
                  </from>
                  <to>
                    <xdr:col>2</xdr:col>
                    <xdr:colOff>2981325</xdr:colOff>
                    <xdr:row>80</xdr:row>
                    <xdr:rowOff>19050</xdr:rowOff>
                  </to>
                </anchor>
              </controlPr>
            </control>
          </mc:Choice>
        </mc:AlternateContent>
        <mc:AlternateContent xmlns:mc="http://schemas.openxmlformats.org/markup-compatibility/2006">
          <mc:Choice Requires="x14">
            <control shapeId="1365" r:id="rId108" name="Option Button 341">
              <controlPr defaultSize="0" autoFill="0" autoLine="0" autoPict="0">
                <anchor moveWithCells="1">
                  <from>
                    <xdr:col>2</xdr:col>
                    <xdr:colOff>114300</xdr:colOff>
                    <xdr:row>79</xdr:row>
                    <xdr:rowOff>180975</xdr:rowOff>
                  </from>
                  <to>
                    <xdr:col>2</xdr:col>
                    <xdr:colOff>2981325</xdr:colOff>
                    <xdr:row>81</xdr:row>
                    <xdr:rowOff>19050</xdr:rowOff>
                  </to>
                </anchor>
              </controlPr>
            </control>
          </mc:Choice>
        </mc:AlternateContent>
        <mc:AlternateContent xmlns:mc="http://schemas.openxmlformats.org/markup-compatibility/2006">
          <mc:Choice Requires="x14">
            <control shapeId="1366" r:id="rId109" name="Group Box 342">
              <controlPr defaultSize="0" autoFill="0" autoPict="0">
                <anchor moveWithCells="1">
                  <from>
                    <xdr:col>2</xdr:col>
                    <xdr:colOff>0</xdr:colOff>
                    <xdr:row>78</xdr:row>
                    <xdr:rowOff>0</xdr:rowOff>
                  </from>
                  <to>
                    <xdr:col>3</xdr:col>
                    <xdr:colOff>0</xdr:colOff>
                    <xdr:row>81</xdr:row>
                    <xdr:rowOff>66675</xdr:rowOff>
                  </to>
                </anchor>
              </controlPr>
            </control>
          </mc:Choice>
        </mc:AlternateContent>
        <mc:AlternateContent xmlns:mc="http://schemas.openxmlformats.org/markup-compatibility/2006">
          <mc:Choice Requires="x14">
            <control shapeId="1367" r:id="rId110" name="Option Button 343">
              <controlPr defaultSize="0" autoFill="0" autoLine="0" autoPict="0">
                <anchor moveWithCells="1">
                  <from>
                    <xdr:col>2</xdr:col>
                    <xdr:colOff>123825</xdr:colOff>
                    <xdr:row>85</xdr:row>
                    <xdr:rowOff>180975</xdr:rowOff>
                  </from>
                  <to>
                    <xdr:col>2</xdr:col>
                    <xdr:colOff>3190875</xdr:colOff>
                    <xdr:row>87</xdr:row>
                    <xdr:rowOff>19050</xdr:rowOff>
                  </to>
                </anchor>
              </controlPr>
            </control>
          </mc:Choice>
        </mc:AlternateContent>
        <mc:AlternateContent xmlns:mc="http://schemas.openxmlformats.org/markup-compatibility/2006">
          <mc:Choice Requires="x14">
            <control shapeId="1368" r:id="rId111" name="Option Button 344">
              <controlPr defaultSize="0" autoFill="0" autoLine="0" autoPict="0">
                <anchor moveWithCells="1">
                  <from>
                    <xdr:col>2</xdr:col>
                    <xdr:colOff>123825</xdr:colOff>
                    <xdr:row>86</xdr:row>
                    <xdr:rowOff>180975</xdr:rowOff>
                  </from>
                  <to>
                    <xdr:col>2</xdr:col>
                    <xdr:colOff>3086100</xdr:colOff>
                    <xdr:row>88</xdr:row>
                    <xdr:rowOff>19050</xdr:rowOff>
                  </to>
                </anchor>
              </controlPr>
            </control>
          </mc:Choice>
        </mc:AlternateContent>
        <mc:AlternateContent xmlns:mc="http://schemas.openxmlformats.org/markup-compatibility/2006">
          <mc:Choice Requires="x14">
            <control shapeId="1369" r:id="rId112" name="Group Box 345">
              <controlPr defaultSize="0" autoFill="0" autoPict="0">
                <anchor moveWithCells="1">
                  <from>
                    <xdr:col>2</xdr:col>
                    <xdr:colOff>0</xdr:colOff>
                    <xdr:row>85</xdr:row>
                    <xdr:rowOff>0</xdr:rowOff>
                  </from>
                  <to>
                    <xdr:col>3</xdr:col>
                    <xdr:colOff>0</xdr:colOff>
                    <xdr:row>88</xdr:row>
                    <xdr:rowOff>85725</xdr:rowOff>
                  </to>
                </anchor>
              </controlPr>
            </control>
          </mc:Choice>
        </mc:AlternateContent>
        <mc:AlternateContent xmlns:mc="http://schemas.openxmlformats.org/markup-compatibility/2006">
          <mc:Choice Requires="x14">
            <control shapeId="1370" r:id="rId113" name="Option Button 346">
              <controlPr defaultSize="0" autoFill="0" autoLine="0" autoPict="0">
                <anchor moveWithCells="1">
                  <from>
                    <xdr:col>2</xdr:col>
                    <xdr:colOff>114300</xdr:colOff>
                    <xdr:row>92</xdr:row>
                    <xdr:rowOff>171450</xdr:rowOff>
                  </from>
                  <to>
                    <xdr:col>2</xdr:col>
                    <xdr:colOff>3048000</xdr:colOff>
                    <xdr:row>94</xdr:row>
                    <xdr:rowOff>9525</xdr:rowOff>
                  </to>
                </anchor>
              </controlPr>
            </control>
          </mc:Choice>
        </mc:AlternateContent>
        <mc:AlternateContent xmlns:mc="http://schemas.openxmlformats.org/markup-compatibility/2006">
          <mc:Choice Requires="x14">
            <control shapeId="1371" r:id="rId114" name="Option Button 347">
              <controlPr defaultSize="0" autoFill="0" autoLine="0" autoPict="0">
                <anchor moveWithCells="1">
                  <from>
                    <xdr:col>2</xdr:col>
                    <xdr:colOff>114300</xdr:colOff>
                    <xdr:row>93</xdr:row>
                    <xdr:rowOff>171450</xdr:rowOff>
                  </from>
                  <to>
                    <xdr:col>2</xdr:col>
                    <xdr:colOff>3048000</xdr:colOff>
                    <xdr:row>95</xdr:row>
                    <xdr:rowOff>9525</xdr:rowOff>
                  </to>
                </anchor>
              </controlPr>
            </control>
          </mc:Choice>
        </mc:AlternateContent>
        <mc:AlternateContent xmlns:mc="http://schemas.openxmlformats.org/markup-compatibility/2006">
          <mc:Choice Requires="x14">
            <control shapeId="1372" r:id="rId115" name="Group Box 348">
              <controlPr defaultSize="0" autoFill="0" autoPict="0">
                <anchor moveWithCells="1">
                  <from>
                    <xdr:col>2</xdr:col>
                    <xdr:colOff>0</xdr:colOff>
                    <xdr:row>92</xdr:row>
                    <xdr:rowOff>0</xdr:rowOff>
                  </from>
                  <to>
                    <xdr:col>3</xdr:col>
                    <xdr:colOff>0</xdr:colOff>
                    <xdr:row>95</xdr:row>
                    <xdr:rowOff>76200</xdr:rowOff>
                  </to>
                </anchor>
              </controlPr>
            </control>
          </mc:Choice>
        </mc:AlternateContent>
        <mc:AlternateContent xmlns:mc="http://schemas.openxmlformats.org/markup-compatibility/2006">
          <mc:Choice Requires="x14">
            <control shapeId="1373" r:id="rId116" name="Option Button 349">
              <controlPr defaultSize="0" autoFill="0" autoLine="0" autoPict="0">
                <anchor moveWithCells="1">
                  <from>
                    <xdr:col>2</xdr:col>
                    <xdr:colOff>123825</xdr:colOff>
                    <xdr:row>99</xdr:row>
                    <xdr:rowOff>180975</xdr:rowOff>
                  </from>
                  <to>
                    <xdr:col>2</xdr:col>
                    <xdr:colOff>2981325</xdr:colOff>
                    <xdr:row>101</xdr:row>
                    <xdr:rowOff>19050</xdr:rowOff>
                  </to>
                </anchor>
              </controlPr>
            </control>
          </mc:Choice>
        </mc:AlternateContent>
        <mc:AlternateContent xmlns:mc="http://schemas.openxmlformats.org/markup-compatibility/2006">
          <mc:Choice Requires="x14">
            <control shapeId="1374" r:id="rId117" name="Option Button 350">
              <controlPr defaultSize="0" autoFill="0" autoLine="0" autoPict="0">
                <anchor moveWithCells="1">
                  <from>
                    <xdr:col>2</xdr:col>
                    <xdr:colOff>123825</xdr:colOff>
                    <xdr:row>100</xdr:row>
                    <xdr:rowOff>180975</xdr:rowOff>
                  </from>
                  <to>
                    <xdr:col>2</xdr:col>
                    <xdr:colOff>2981325</xdr:colOff>
                    <xdr:row>102</xdr:row>
                    <xdr:rowOff>19050</xdr:rowOff>
                  </to>
                </anchor>
              </controlPr>
            </control>
          </mc:Choice>
        </mc:AlternateContent>
        <mc:AlternateContent xmlns:mc="http://schemas.openxmlformats.org/markup-compatibility/2006">
          <mc:Choice Requires="x14">
            <control shapeId="1375" r:id="rId118" name="Group Box 351">
              <controlPr defaultSize="0" autoFill="0" autoPict="0">
                <anchor moveWithCells="1">
                  <from>
                    <xdr:col>2</xdr:col>
                    <xdr:colOff>0</xdr:colOff>
                    <xdr:row>99</xdr:row>
                    <xdr:rowOff>0</xdr:rowOff>
                  </from>
                  <to>
                    <xdr:col>3</xdr:col>
                    <xdr:colOff>9525</xdr:colOff>
                    <xdr:row>102</xdr:row>
                    <xdr:rowOff>95250</xdr:rowOff>
                  </to>
                </anchor>
              </controlPr>
            </control>
          </mc:Choice>
        </mc:AlternateContent>
        <mc:AlternateContent xmlns:mc="http://schemas.openxmlformats.org/markup-compatibility/2006">
          <mc:Choice Requires="x14">
            <control shapeId="1376" r:id="rId119" name="Option Button 352">
              <controlPr defaultSize="0" autoFill="0" autoLine="0" autoPict="0">
                <anchor moveWithCells="1">
                  <from>
                    <xdr:col>2</xdr:col>
                    <xdr:colOff>114300</xdr:colOff>
                    <xdr:row>106</xdr:row>
                    <xdr:rowOff>171450</xdr:rowOff>
                  </from>
                  <to>
                    <xdr:col>2</xdr:col>
                    <xdr:colOff>2971800</xdr:colOff>
                    <xdr:row>108</xdr:row>
                    <xdr:rowOff>9525</xdr:rowOff>
                  </to>
                </anchor>
              </controlPr>
            </control>
          </mc:Choice>
        </mc:AlternateContent>
        <mc:AlternateContent xmlns:mc="http://schemas.openxmlformats.org/markup-compatibility/2006">
          <mc:Choice Requires="x14">
            <control shapeId="1377" r:id="rId120" name="Option Button 353">
              <controlPr defaultSize="0" autoFill="0" autoLine="0" autoPict="0">
                <anchor moveWithCells="1">
                  <from>
                    <xdr:col>2</xdr:col>
                    <xdr:colOff>114300</xdr:colOff>
                    <xdr:row>107</xdr:row>
                    <xdr:rowOff>171450</xdr:rowOff>
                  </from>
                  <to>
                    <xdr:col>2</xdr:col>
                    <xdr:colOff>2971800</xdr:colOff>
                    <xdr:row>109</xdr:row>
                    <xdr:rowOff>9525</xdr:rowOff>
                  </to>
                </anchor>
              </controlPr>
            </control>
          </mc:Choice>
        </mc:AlternateContent>
        <mc:AlternateContent xmlns:mc="http://schemas.openxmlformats.org/markup-compatibility/2006">
          <mc:Choice Requires="x14">
            <control shapeId="1378" r:id="rId121" name="Group Box 354">
              <controlPr defaultSize="0" autoFill="0" autoPict="0">
                <anchor moveWithCells="1">
                  <from>
                    <xdr:col>2</xdr:col>
                    <xdr:colOff>0</xdr:colOff>
                    <xdr:row>106</xdr:row>
                    <xdr:rowOff>0</xdr:rowOff>
                  </from>
                  <to>
                    <xdr:col>3</xdr:col>
                    <xdr:colOff>9525</xdr:colOff>
                    <xdr:row>109</xdr:row>
                    <xdr:rowOff>66675</xdr:rowOff>
                  </to>
                </anchor>
              </controlPr>
            </control>
          </mc:Choice>
        </mc:AlternateContent>
        <mc:AlternateContent xmlns:mc="http://schemas.openxmlformats.org/markup-compatibility/2006">
          <mc:Choice Requires="x14">
            <control shapeId="1379" r:id="rId122" name="Option Button 355">
              <controlPr defaultSize="0" autoFill="0" autoLine="0" autoPict="0">
                <anchor moveWithCells="1">
                  <from>
                    <xdr:col>4</xdr:col>
                    <xdr:colOff>85725</xdr:colOff>
                    <xdr:row>71</xdr:row>
                    <xdr:rowOff>180975</xdr:rowOff>
                  </from>
                  <to>
                    <xdr:col>4</xdr:col>
                    <xdr:colOff>2962275</xdr:colOff>
                    <xdr:row>73</xdr:row>
                    <xdr:rowOff>19050</xdr:rowOff>
                  </to>
                </anchor>
              </controlPr>
            </control>
          </mc:Choice>
        </mc:AlternateContent>
        <mc:AlternateContent xmlns:mc="http://schemas.openxmlformats.org/markup-compatibility/2006">
          <mc:Choice Requires="x14">
            <control shapeId="1380" r:id="rId123" name="Option Button 356">
              <controlPr defaultSize="0" autoFill="0" autoLine="0" autoPict="0">
                <anchor moveWithCells="1">
                  <from>
                    <xdr:col>4</xdr:col>
                    <xdr:colOff>85725</xdr:colOff>
                    <xdr:row>72</xdr:row>
                    <xdr:rowOff>180975</xdr:rowOff>
                  </from>
                  <to>
                    <xdr:col>4</xdr:col>
                    <xdr:colOff>2962275</xdr:colOff>
                    <xdr:row>74</xdr:row>
                    <xdr:rowOff>19050</xdr:rowOff>
                  </to>
                </anchor>
              </controlPr>
            </control>
          </mc:Choice>
        </mc:AlternateContent>
        <mc:AlternateContent xmlns:mc="http://schemas.openxmlformats.org/markup-compatibility/2006">
          <mc:Choice Requires="x14">
            <control shapeId="1381" r:id="rId124" name="Option Button 357">
              <controlPr defaultSize="0" autoFill="0" autoLine="0" autoPict="0">
                <anchor moveWithCells="1">
                  <from>
                    <xdr:col>4</xdr:col>
                    <xdr:colOff>85725</xdr:colOff>
                    <xdr:row>73</xdr:row>
                    <xdr:rowOff>180975</xdr:rowOff>
                  </from>
                  <to>
                    <xdr:col>4</xdr:col>
                    <xdr:colOff>2962275</xdr:colOff>
                    <xdr:row>75</xdr:row>
                    <xdr:rowOff>19050</xdr:rowOff>
                  </to>
                </anchor>
              </controlPr>
            </control>
          </mc:Choice>
        </mc:AlternateContent>
        <mc:AlternateContent xmlns:mc="http://schemas.openxmlformats.org/markup-compatibility/2006">
          <mc:Choice Requires="x14">
            <control shapeId="1383" r:id="rId125" name="Option Button 359">
              <controlPr defaultSize="0" autoFill="0" autoLine="0" autoPict="0">
                <anchor moveWithCells="1">
                  <from>
                    <xdr:col>4</xdr:col>
                    <xdr:colOff>85725</xdr:colOff>
                    <xdr:row>74</xdr:row>
                    <xdr:rowOff>180975</xdr:rowOff>
                  </from>
                  <to>
                    <xdr:col>4</xdr:col>
                    <xdr:colOff>2962275</xdr:colOff>
                    <xdr:row>76</xdr:row>
                    <xdr:rowOff>19050</xdr:rowOff>
                  </to>
                </anchor>
              </controlPr>
            </control>
          </mc:Choice>
        </mc:AlternateContent>
        <mc:AlternateContent xmlns:mc="http://schemas.openxmlformats.org/markup-compatibility/2006">
          <mc:Choice Requires="x14">
            <control shapeId="1385" r:id="rId126" name="Group Box 361">
              <controlPr defaultSize="0" autoFill="0" autoPict="0">
                <anchor moveWithCells="1">
                  <from>
                    <xdr:col>4</xdr:col>
                    <xdr:colOff>9525</xdr:colOff>
                    <xdr:row>71</xdr:row>
                    <xdr:rowOff>0</xdr:rowOff>
                  </from>
                  <to>
                    <xdr:col>5</xdr:col>
                    <xdr:colOff>0</xdr:colOff>
                    <xdr:row>76</xdr:row>
                    <xdr:rowOff>76200</xdr:rowOff>
                  </to>
                </anchor>
              </controlPr>
            </control>
          </mc:Choice>
        </mc:AlternateContent>
        <mc:AlternateContent xmlns:mc="http://schemas.openxmlformats.org/markup-compatibility/2006">
          <mc:Choice Requires="x14">
            <control shapeId="1386" r:id="rId127" name="Option Button 362">
              <controlPr defaultSize="0" autoFill="0" autoLine="0" autoPict="0">
                <anchor moveWithCells="1">
                  <from>
                    <xdr:col>4</xdr:col>
                    <xdr:colOff>85725</xdr:colOff>
                    <xdr:row>78</xdr:row>
                    <xdr:rowOff>180975</xdr:rowOff>
                  </from>
                  <to>
                    <xdr:col>4</xdr:col>
                    <xdr:colOff>2790825</xdr:colOff>
                    <xdr:row>80</xdr:row>
                    <xdr:rowOff>9525</xdr:rowOff>
                  </to>
                </anchor>
              </controlPr>
            </control>
          </mc:Choice>
        </mc:AlternateContent>
        <mc:AlternateContent xmlns:mc="http://schemas.openxmlformats.org/markup-compatibility/2006">
          <mc:Choice Requires="x14">
            <control shapeId="1387" r:id="rId128" name="Option Button 363">
              <controlPr defaultSize="0" autoFill="0" autoLine="0" autoPict="0">
                <anchor moveWithCells="1">
                  <from>
                    <xdr:col>4</xdr:col>
                    <xdr:colOff>85725</xdr:colOff>
                    <xdr:row>79</xdr:row>
                    <xdr:rowOff>180975</xdr:rowOff>
                  </from>
                  <to>
                    <xdr:col>4</xdr:col>
                    <xdr:colOff>2790825</xdr:colOff>
                    <xdr:row>81</xdr:row>
                    <xdr:rowOff>9525</xdr:rowOff>
                  </to>
                </anchor>
              </controlPr>
            </control>
          </mc:Choice>
        </mc:AlternateContent>
        <mc:AlternateContent xmlns:mc="http://schemas.openxmlformats.org/markup-compatibility/2006">
          <mc:Choice Requires="x14">
            <control shapeId="1388" r:id="rId129" name="Option Button 364">
              <controlPr defaultSize="0" autoFill="0" autoLine="0" autoPict="0">
                <anchor moveWithCells="1">
                  <from>
                    <xdr:col>4</xdr:col>
                    <xdr:colOff>85725</xdr:colOff>
                    <xdr:row>80</xdr:row>
                    <xdr:rowOff>180975</xdr:rowOff>
                  </from>
                  <to>
                    <xdr:col>4</xdr:col>
                    <xdr:colOff>2790825</xdr:colOff>
                    <xdr:row>82</xdr:row>
                    <xdr:rowOff>9525</xdr:rowOff>
                  </to>
                </anchor>
              </controlPr>
            </control>
          </mc:Choice>
        </mc:AlternateContent>
        <mc:AlternateContent xmlns:mc="http://schemas.openxmlformats.org/markup-compatibility/2006">
          <mc:Choice Requires="x14">
            <control shapeId="1389" r:id="rId130" name="Option Button 365">
              <controlPr defaultSize="0" autoFill="0" autoLine="0" autoPict="0">
                <anchor moveWithCells="1">
                  <from>
                    <xdr:col>4</xdr:col>
                    <xdr:colOff>85725</xdr:colOff>
                    <xdr:row>81</xdr:row>
                    <xdr:rowOff>180975</xdr:rowOff>
                  </from>
                  <to>
                    <xdr:col>4</xdr:col>
                    <xdr:colOff>2790825</xdr:colOff>
                    <xdr:row>83</xdr:row>
                    <xdr:rowOff>9525</xdr:rowOff>
                  </to>
                </anchor>
              </controlPr>
            </control>
          </mc:Choice>
        </mc:AlternateContent>
        <mc:AlternateContent xmlns:mc="http://schemas.openxmlformats.org/markup-compatibility/2006">
          <mc:Choice Requires="x14">
            <control shapeId="1391" r:id="rId131" name="Group Box 367">
              <controlPr defaultSize="0" autoFill="0" autoPict="0">
                <anchor moveWithCells="1">
                  <from>
                    <xdr:col>4</xdr:col>
                    <xdr:colOff>0</xdr:colOff>
                    <xdr:row>78</xdr:row>
                    <xdr:rowOff>0</xdr:rowOff>
                  </from>
                  <to>
                    <xdr:col>5</xdr:col>
                    <xdr:colOff>0</xdr:colOff>
                    <xdr:row>83</xdr:row>
                    <xdr:rowOff>66675</xdr:rowOff>
                  </to>
                </anchor>
              </controlPr>
            </control>
          </mc:Choice>
        </mc:AlternateContent>
        <mc:AlternateContent xmlns:mc="http://schemas.openxmlformats.org/markup-compatibility/2006">
          <mc:Choice Requires="x14">
            <control shapeId="1392" r:id="rId132" name="Option Button 368">
              <controlPr defaultSize="0" autoFill="0" autoLine="0" autoPict="0">
                <anchor moveWithCells="1">
                  <from>
                    <xdr:col>4</xdr:col>
                    <xdr:colOff>95250</xdr:colOff>
                    <xdr:row>85</xdr:row>
                    <xdr:rowOff>171450</xdr:rowOff>
                  </from>
                  <to>
                    <xdr:col>4</xdr:col>
                    <xdr:colOff>2686050</xdr:colOff>
                    <xdr:row>87</xdr:row>
                    <xdr:rowOff>9525</xdr:rowOff>
                  </to>
                </anchor>
              </controlPr>
            </control>
          </mc:Choice>
        </mc:AlternateContent>
        <mc:AlternateContent xmlns:mc="http://schemas.openxmlformats.org/markup-compatibility/2006">
          <mc:Choice Requires="x14">
            <control shapeId="1393" r:id="rId133" name="Option Button 369">
              <controlPr defaultSize="0" autoFill="0" autoLine="0" autoPict="0">
                <anchor moveWithCells="1">
                  <from>
                    <xdr:col>4</xdr:col>
                    <xdr:colOff>95250</xdr:colOff>
                    <xdr:row>86</xdr:row>
                    <xdr:rowOff>171450</xdr:rowOff>
                  </from>
                  <to>
                    <xdr:col>4</xdr:col>
                    <xdr:colOff>2686050</xdr:colOff>
                    <xdr:row>88</xdr:row>
                    <xdr:rowOff>9525</xdr:rowOff>
                  </to>
                </anchor>
              </controlPr>
            </control>
          </mc:Choice>
        </mc:AlternateContent>
        <mc:AlternateContent xmlns:mc="http://schemas.openxmlformats.org/markup-compatibility/2006">
          <mc:Choice Requires="x14">
            <control shapeId="1394" r:id="rId134" name="Option Button 370">
              <controlPr defaultSize="0" autoFill="0" autoLine="0" autoPict="0">
                <anchor moveWithCells="1">
                  <from>
                    <xdr:col>4</xdr:col>
                    <xdr:colOff>95250</xdr:colOff>
                    <xdr:row>87</xdr:row>
                    <xdr:rowOff>171450</xdr:rowOff>
                  </from>
                  <to>
                    <xdr:col>4</xdr:col>
                    <xdr:colOff>2686050</xdr:colOff>
                    <xdr:row>89</xdr:row>
                    <xdr:rowOff>9525</xdr:rowOff>
                  </to>
                </anchor>
              </controlPr>
            </control>
          </mc:Choice>
        </mc:AlternateContent>
        <mc:AlternateContent xmlns:mc="http://schemas.openxmlformats.org/markup-compatibility/2006">
          <mc:Choice Requires="x14">
            <control shapeId="1395" r:id="rId135" name="Option Button 371">
              <controlPr defaultSize="0" autoFill="0" autoLine="0" autoPict="0">
                <anchor moveWithCells="1">
                  <from>
                    <xdr:col>4</xdr:col>
                    <xdr:colOff>95250</xdr:colOff>
                    <xdr:row>88</xdr:row>
                    <xdr:rowOff>171450</xdr:rowOff>
                  </from>
                  <to>
                    <xdr:col>4</xdr:col>
                    <xdr:colOff>2686050</xdr:colOff>
                    <xdr:row>90</xdr:row>
                    <xdr:rowOff>9525</xdr:rowOff>
                  </to>
                </anchor>
              </controlPr>
            </control>
          </mc:Choice>
        </mc:AlternateContent>
        <mc:AlternateContent xmlns:mc="http://schemas.openxmlformats.org/markup-compatibility/2006">
          <mc:Choice Requires="x14">
            <control shapeId="1396" r:id="rId136" name="Group Box 372">
              <controlPr defaultSize="0" autoFill="0" autoPict="0">
                <anchor moveWithCells="1">
                  <from>
                    <xdr:col>4</xdr:col>
                    <xdr:colOff>0</xdr:colOff>
                    <xdr:row>85</xdr:row>
                    <xdr:rowOff>0</xdr:rowOff>
                  </from>
                  <to>
                    <xdr:col>5</xdr:col>
                    <xdr:colOff>0</xdr:colOff>
                    <xdr:row>90</xdr:row>
                    <xdr:rowOff>76200</xdr:rowOff>
                  </to>
                </anchor>
              </controlPr>
            </control>
          </mc:Choice>
        </mc:AlternateContent>
        <mc:AlternateContent xmlns:mc="http://schemas.openxmlformats.org/markup-compatibility/2006">
          <mc:Choice Requires="x14">
            <control shapeId="1397" r:id="rId137" name="Option Button 373">
              <controlPr defaultSize="0" autoFill="0" autoLine="0" autoPict="0">
                <anchor moveWithCells="1">
                  <from>
                    <xdr:col>4</xdr:col>
                    <xdr:colOff>85725</xdr:colOff>
                    <xdr:row>92</xdr:row>
                    <xdr:rowOff>171450</xdr:rowOff>
                  </from>
                  <to>
                    <xdr:col>4</xdr:col>
                    <xdr:colOff>2943225</xdr:colOff>
                    <xdr:row>94</xdr:row>
                    <xdr:rowOff>9525</xdr:rowOff>
                  </to>
                </anchor>
              </controlPr>
            </control>
          </mc:Choice>
        </mc:AlternateContent>
        <mc:AlternateContent xmlns:mc="http://schemas.openxmlformats.org/markup-compatibility/2006">
          <mc:Choice Requires="x14">
            <control shapeId="1398" r:id="rId138" name="Option Button 374">
              <controlPr defaultSize="0" autoFill="0" autoLine="0" autoPict="0">
                <anchor moveWithCells="1">
                  <from>
                    <xdr:col>4</xdr:col>
                    <xdr:colOff>85725</xdr:colOff>
                    <xdr:row>93</xdr:row>
                    <xdr:rowOff>171450</xdr:rowOff>
                  </from>
                  <to>
                    <xdr:col>4</xdr:col>
                    <xdr:colOff>2943225</xdr:colOff>
                    <xdr:row>95</xdr:row>
                    <xdr:rowOff>9525</xdr:rowOff>
                  </to>
                </anchor>
              </controlPr>
            </control>
          </mc:Choice>
        </mc:AlternateContent>
        <mc:AlternateContent xmlns:mc="http://schemas.openxmlformats.org/markup-compatibility/2006">
          <mc:Choice Requires="x14">
            <control shapeId="1399" r:id="rId139" name="Option Button 375">
              <controlPr defaultSize="0" autoFill="0" autoLine="0" autoPict="0">
                <anchor moveWithCells="1">
                  <from>
                    <xdr:col>4</xdr:col>
                    <xdr:colOff>85725</xdr:colOff>
                    <xdr:row>94</xdr:row>
                    <xdr:rowOff>171450</xdr:rowOff>
                  </from>
                  <to>
                    <xdr:col>4</xdr:col>
                    <xdr:colOff>2943225</xdr:colOff>
                    <xdr:row>96</xdr:row>
                    <xdr:rowOff>9525</xdr:rowOff>
                  </to>
                </anchor>
              </controlPr>
            </control>
          </mc:Choice>
        </mc:AlternateContent>
        <mc:AlternateContent xmlns:mc="http://schemas.openxmlformats.org/markup-compatibility/2006">
          <mc:Choice Requires="x14">
            <control shapeId="1400" r:id="rId140" name="Option Button 376">
              <controlPr defaultSize="0" autoFill="0" autoLine="0" autoPict="0">
                <anchor moveWithCells="1">
                  <from>
                    <xdr:col>4</xdr:col>
                    <xdr:colOff>85725</xdr:colOff>
                    <xdr:row>95</xdr:row>
                    <xdr:rowOff>171450</xdr:rowOff>
                  </from>
                  <to>
                    <xdr:col>4</xdr:col>
                    <xdr:colOff>2943225</xdr:colOff>
                    <xdr:row>97</xdr:row>
                    <xdr:rowOff>9525</xdr:rowOff>
                  </to>
                </anchor>
              </controlPr>
            </control>
          </mc:Choice>
        </mc:AlternateContent>
        <mc:AlternateContent xmlns:mc="http://schemas.openxmlformats.org/markup-compatibility/2006">
          <mc:Choice Requires="x14">
            <control shapeId="1401" r:id="rId141" name="Group Box 377">
              <controlPr defaultSize="0" autoFill="0" autoPict="0">
                <anchor moveWithCells="1">
                  <from>
                    <xdr:col>4</xdr:col>
                    <xdr:colOff>0</xdr:colOff>
                    <xdr:row>92</xdr:row>
                    <xdr:rowOff>0</xdr:rowOff>
                  </from>
                  <to>
                    <xdr:col>5</xdr:col>
                    <xdr:colOff>0</xdr:colOff>
                    <xdr:row>97</xdr:row>
                    <xdr:rowOff>76200</xdr:rowOff>
                  </to>
                </anchor>
              </controlPr>
            </control>
          </mc:Choice>
        </mc:AlternateContent>
        <mc:AlternateContent xmlns:mc="http://schemas.openxmlformats.org/markup-compatibility/2006">
          <mc:Choice Requires="x14">
            <control shapeId="1402" r:id="rId142" name="Option Button 378">
              <controlPr defaultSize="0" autoFill="0" autoLine="0" autoPict="0">
                <anchor moveWithCells="1">
                  <from>
                    <xdr:col>4</xdr:col>
                    <xdr:colOff>85725</xdr:colOff>
                    <xdr:row>99</xdr:row>
                    <xdr:rowOff>171450</xdr:rowOff>
                  </from>
                  <to>
                    <xdr:col>4</xdr:col>
                    <xdr:colOff>2781300</xdr:colOff>
                    <xdr:row>101</xdr:row>
                    <xdr:rowOff>9525</xdr:rowOff>
                  </to>
                </anchor>
              </controlPr>
            </control>
          </mc:Choice>
        </mc:AlternateContent>
        <mc:AlternateContent xmlns:mc="http://schemas.openxmlformats.org/markup-compatibility/2006">
          <mc:Choice Requires="x14">
            <control shapeId="1403" r:id="rId143" name="Option Button 379">
              <controlPr defaultSize="0" autoFill="0" autoLine="0" autoPict="0">
                <anchor moveWithCells="1">
                  <from>
                    <xdr:col>4</xdr:col>
                    <xdr:colOff>85725</xdr:colOff>
                    <xdr:row>100</xdr:row>
                    <xdr:rowOff>171450</xdr:rowOff>
                  </from>
                  <to>
                    <xdr:col>4</xdr:col>
                    <xdr:colOff>2781300</xdr:colOff>
                    <xdr:row>102</xdr:row>
                    <xdr:rowOff>9525</xdr:rowOff>
                  </to>
                </anchor>
              </controlPr>
            </control>
          </mc:Choice>
        </mc:AlternateContent>
        <mc:AlternateContent xmlns:mc="http://schemas.openxmlformats.org/markup-compatibility/2006">
          <mc:Choice Requires="x14">
            <control shapeId="1404" r:id="rId144" name="Option Button 380">
              <controlPr defaultSize="0" autoFill="0" autoLine="0" autoPict="0">
                <anchor moveWithCells="1">
                  <from>
                    <xdr:col>4</xdr:col>
                    <xdr:colOff>85725</xdr:colOff>
                    <xdr:row>101</xdr:row>
                    <xdr:rowOff>171450</xdr:rowOff>
                  </from>
                  <to>
                    <xdr:col>4</xdr:col>
                    <xdr:colOff>2781300</xdr:colOff>
                    <xdr:row>103</xdr:row>
                    <xdr:rowOff>9525</xdr:rowOff>
                  </to>
                </anchor>
              </controlPr>
            </control>
          </mc:Choice>
        </mc:AlternateContent>
        <mc:AlternateContent xmlns:mc="http://schemas.openxmlformats.org/markup-compatibility/2006">
          <mc:Choice Requires="x14">
            <control shapeId="1405" r:id="rId145" name="Option Button 381">
              <controlPr defaultSize="0" autoFill="0" autoLine="0" autoPict="0">
                <anchor moveWithCells="1">
                  <from>
                    <xdr:col>4</xdr:col>
                    <xdr:colOff>85725</xdr:colOff>
                    <xdr:row>102</xdr:row>
                    <xdr:rowOff>171450</xdr:rowOff>
                  </from>
                  <to>
                    <xdr:col>4</xdr:col>
                    <xdr:colOff>2781300</xdr:colOff>
                    <xdr:row>104</xdr:row>
                    <xdr:rowOff>9525</xdr:rowOff>
                  </to>
                </anchor>
              </controlPr>
            </control>
          </mc:Choice>
        </mc:AlternateContent>
        <mc:AlternateContent xmlns:mc="http://schemas.openxmlformats.org/markup-compatibility/2006">
          <mc:Choice Requires="x14">
            <control shapeId="1408" r:id="rId146" name="Group Box 384">
              <controlPr defaultSize="0" autoFill="0" autoPict="0">
                <anchor moveWithCells="1">
                  <from>
                    <xdr:col>4</xdr:col>
                    <xdr:colOff>9525</xdr:colOff>
                    <xdr:row>99</xdr:row>
                    <xdr:rowOff>0</xdr:rowOff>
                  </from>
                  <to>
                    <xdr:col>5</xdr:col>
                    <xdr:colOff>0</xdr:colOff>
                    <xdr:row>104</xdr:row>
                    <xdr:rowOff>57150</xdr:rowOff>
                  </to>
                </anchor>
              </controlPr>
            </control>
          </mc:Choice>
        </mc:AlternateContent>
        <mc:AlternateContent xmlns:mc="http://schemas.openxmlformats.org/markup-compatibility/2006">
          <mc:Choice Requires="x14">
            <control shapeId="1409" r:id="rId147" name="Option Button 385">
              <controlPr defaultSize="0" autoFill="0" autoLine="0" autoPict="0">
                <anchor moveWithCells="1">
                  <from>
                    <xdr:col>4</xdr:col>
                    <xdr:colOff>95250</xdr:colOff>
                    <xdr:row>106</xdr:row>
                    <xdr:rowOff>180975</xdr:rowOff>
                  </from>
                  <to>
                    <xdr:col>4</xdr:col>
                    <xdr:colOff>2867025</xdr:colOff>
                    <xdr:row>108</xdr:row>
                    <xdr:rowOff>19050</xdr:rowOff>
                  </to>
                </anchor>
              </controlPr>
            </control>
          </mc:Choice>
        </mc:AlternateContent>
        <mc:AlternateContent xmlns:mc="http://schemas.openxmlformats.org/markup-compatibility/2006">
          <mc:Choice Requires="x14">
            <control shapeId="1410" r:id="rId148" name="Option Button 386">
              <controlPr defaultSize="0" autoFill="0" autoLine="0" autoPict="0">
                <anchor moveWithCells="1">
                  <from>
                    <xdr:col>4</xdr:col>
                    <xdr:colOff>95250</xdr:colOff>
                    <xdr:row>107</xdr:row>
                    <xdr:rowOff>180975</xdr:rowOff>
                  </from>
                  <to>
                    <xdr:col>4</xdr:col>
                    <xdr:colOff>2867025</xdr:colOff>
                    <xdr:row>109</xdr:row>
                    <xdr:rowOff>19050</xdr:rowOff>
                  </to>
                </anchor>
              </controlPr>
            </control>
          </mc:Choice>
        </mc:AlternateContent>
        <mc:AlternateContent xmlns:mc="http://schemas.openxmlformats.org/markup-compatibility/2006">
          <mc:Choice Requires="x14">
            <control shapeId="1411" r:id="rId149" name="Option Button 387">
              <controlPr defaultSize="0" autoFill="0" autoLine="0" autoPict="0">
                <anchor moveWithCells="1">
                  <from>
                    <xdr:col>4</xdr:col>
                    <xdr:colOff>95250</xdr:colOff>
                    <xdr:row>108</xdr:row>
                    <xdr:rowOff>180975</xdr:rowOff>
                  </from>
                  <to>
                    <xdr:col>4</xdr:col>
                    <xdr:colOff>2867025</xdr:colOff>
                    <xdr:row>110</xdr:row>
                    <xdr:rowOff>19050</xdr:rowOff>
                  </to>
                </anchor>
              </controlPr>
            </control>
          </mc:Choice>
        </mc:AlternateContent>
        <mc:AlternateContent xmlns:mc="http://schemas.openxmlformats.org/markup-compatibility/2006">
          <mc:Choice Requires="x14">
            <control shapeId="1412" r:id="rId150" name="Option Button 388">
              <controlPr defaultSize="0" autoFill="0" autoLine="0" autoPict="0">
                <anchor moveWithCells="1">
                  <from>
                    <xdr:col>4</xdr:col>
                    <xdr:colOff>95250</xdr:colOff>
                    <xdr:row>109</xdr:row>
                    <xdr:rowOff>180975</xdr:rowOff>
                  </from>
                  <to>
                    <xdr:col>4</xdr:col>
                    <xdr:colOff>2867025</xdr:colOff>
                    <xdr:row>111</xdr:row>
                    <xdr:rowOff>19050</xdr:rowOff>
                  </to>
                </anchor>
              </controlPr>
            </control>
          </mc:Choice>
        </mc:AlternateContent>
        <mc:AlternateContent xmlns:mc="http://schemas.openxmlformats.org/markup-compatibility/2006">
          <mc:Choice Requires="x14">
            <control shapeId="1413" r:id="rId151" name="Group Box 389">
              <controlPr defaultSize="0" autoFill="0" autoPict="0">
                <anchor moveWithCells="1">
                  <from>
                    <xdr:col>4</xdr:col>
                    <xdr:colOff>0</xdr:colOff>
                    <xdr:row>106</xdr:row>
                    <xdr:rowOff>0</xdr:rowOff>
                  </from>
                  <to>
                    <xdr:col>5</xdr:col>
                    <xdr:colOff>0</xdr:colOff>
                    <xdr:row>111</xdr:row>
                    <xdr:rowOff>76200</xdr:rowOff>
                  </to>
                </anchor>
              </controlPr>
            </control>
          </mc:Choice>
        </mc:AlternateContent>
        <mc:AlternateContent xmlns:mc="http://schemas.openxmlformats.org/markup-compatibility/2006">
          <mc:Choice Requires="x14">
            <control shapeId="1414" r:id="rId152" name="Check Box 390">
              <controlPr defaultSize="0" autoFill="0" autoLine="0" autoPict="0" altText="Biobased">
                <anchor moveWithCells="1">
                  <from>
                    <xdr:col>2</xdr:col>
                    <xdr:colOff>0</xdr:colOff>
                    <xdr:row>56</xdr:row>
                    <xdr:rowOff>171450</xdr:rowOff>
                  </from>
                  <to>
                    <xdr:col>2</xdr:col>
                    <xdr:colOff>3152775</xdr:colOff>
                    <xdr:row>58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553" yWindow="563" count="1">
        <x14:dataValidation type="whole" allowBlank="1" showInputMessage="1" showErrorMessage="1" errorTitle="Onjuiste invoerwaarde" error="Het ingevulde vermogen bedraagt niet een geheel aantal kW of ligt niet tussen de vermogensgrenzen van de gekozen categorie." promptTitle="Vermogen" xr:uid="{B755E0A8-59C5-4096-A79D-8CA02B8F994E}">
          <x14:formula1>
            <xm:f>Hulpblad!C123</xm:f>
          </x14:formula1>
          <x14:formula2>
            <xm:f>Hulpblad!C124</xm:f>
          </x14:formula2>
          <xm:sqref>C142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A6-9020-4006-A279-D1FEA64A9C9A}">
  <sheetPr>
    <pageSetUpPr fitToPage="1"/>
  </sheetPr>
  <dimension ref="A1:F28"/>
  <sheetViews>
    <sheetView workbookViewId="0">
      <selection activeCell="D27" sqref="D27"/>
    </sheetView>
  </sheetViews>
  <sheetFormatPr defaultColWidth="9.140625" defaultRowHeight="15"/>
  <cols>
    <col min="1" max="1" width="55.42578125" style="121" customWidth="1"/>
    <col min="2" max="3" width="40.7109375" style="121" customWidth="1"/>
    <col min="4" max="4" width="12.5703125" style="121" customWidth="1"/>
    <col min="5" max="16384" width="9.140625" style="121"/>
  </cols>
  <sheetData>
    <row r="1" spans="1:3" ht="26.25">
      <c r="A1" s="122" t="s">
        <v>286</v>
      </c>
    </row>
    <row r="2" spans="1:3" ht="26.25">
      <c r="A2" s="122"/>
    </row>
    <row r="4" spans="1:3" ht="15.75">
      <c r="A4" s="141" t="s">
        <v>292</v>
      </c>
      <c r="B4" s="143" t="s">
        <v>287</v>
      </c>
      <c r="C4" s="143" t="s">
        <v>301</v>
      </c>
    </row>
    <row r="5" spans="1:3" ht="20.100000000000001" customHeight="1">
      <c r="A5" s="129" t="s">
        <v>288</v>
      </c>
      <c r="B5" s="133">
        <f>'Keuzeblad maatregelen'!M28</f>
        <v>0</v>
      </c>
      <c r="C5" s="134">
        <f>'Keuzeblad maatregelen'!O28+'Keuzeblad maatregelen'!O58</f>
        <v>0</v>
      </c>
    </row>
    <row r="6" spans="1:3" ht="20.100000000000001" customHeight="1">
      <c r="A6" s="130" t="s">
        <v>289</v>
      </c>
      <c r="B6" s="130">
        <f>'Keuzeblad maatregelen'!M35</f>
        <v>0</v>
      </c>
      <c r="C6" s="135">
        <f>'Keuzeblad maatregelen'!O35+'Keuzeblad maatregelen'!O60</f>
        <v>0</v>
      </c>
    </row>
    <row r="7" spans="1:3" ht="20.100000000000001" customHeight="1">
      <c r="A7" s="130" t="s">
        <v>290</v>
      </c>
      <c r="B7" s="130">
        <f>'Keuzeblad maatregelen'!M42</f>
        <v>0</v>
      </c>
      <c r="C7" s="135">
        <f>'Keuzeblad maatregelen'!O42+'Keuzeblad maatregelen'!O62</f>
        <v>0</v>
      </c>
    </row>
    <row r="8" spans="1:3" ht="20.100000000000001" customHeight="1">
      <c r="A8" s="131" t="s">
        <v>291</v>
      </c>
      <c r="B8" s="131">
        <f>'Keuzeblad maatregelen'!K49</f>
        <v>0</v>
      </c>
      <c r="C8" s="136">
        <f>'Keuzeblad maatregelen'!O49+'Keuzeblad maatregelen'!O64</f>
        <v>0</v>
      </c>
    </row>
    <row r="9" spans="1:3" ht="20.100000000000001" customHeight="1">
      <c r="A9" s="132"/>
      <c r="B9" s="132"/>
      <c r="C9" s="138"/>
    </row>
    <row r="10" spans="1:3" ht="20.100000000000001" customHeight="1">
      <c r="A10" s="142" t="s">
        <v>298</v>
      </c>
      <c r="B10" s="143" t="s">
        <v>287</v>
      </c>
      <c r="C10" s="143"/>
    </row>
    <row r="11" spans="1:3" ht="20.100000000000001" customHeight="1">
      <c r="A11" s="129" t="s">
        <v>293</v>
      </c>
      <c r="B11" s="129">
        <f>'Keuzeblad maatregelen'!M72</f>
        <v>0</v>
      </c>
      <c r="C11" s="134">
        <f>'Keuzeblad maatregelen'!O72</f>
        <v>0</v>
      </c>
    </row>
    <row r="12" spans="1:3" ht="20.100000000000001" customHeight="1">
      <c r="A12" s="130" t="s">
        <v>294</v>
      </c>
      <c r="B12" s="130">
        <f>'Keuzeblad maatregelen'!M79</f>
        <v>0</v>
      </c>
      <c r="C12" s="135">
        <f>'Keuzeblad maatregelen'!O79</f>
        <v>0</v>
      </c>
    </row>
    <row r="13" spans="1:3" ht="20.100000000000001" customHeight="1">
      <c r="A13" s="132" t="s">
        <v>310</v>
      </c>
      <c r="B13" s="132">
        <f>'Keuzeblad maatregelen'!M86</f>
        <v>0</v>
      </c>
      <c r="C13" s="138">
        <f>'Keuzeblad maatregelen'!O86</f>
        <v>0</v>
      </c>
    </row>
    <row r="14" spans="1:3" ht="20.100000000000001" customHeight="1">
      <c r="A14" s="130" t="s">
        <v>295</v>
      </c>
      <c r="B14" s="130">
        <f>'Keuzeblad maatregelen'!M93</f>
        <v>0</v>
      </c>
      <c r="C14" s="135">
        <f>'Keuzeblad maatregelen'!O93</f>
        <v>0</v>
      </c>
    </row>
    <row r="15" spans="1:3" ht="20.100000000000001" customHeight="1">
      <c r="A15" s="131" t="s">
        <v>311</v>
      </c>
      <c r="B15" s="131">
        <f>'Keuzeblad maatregelen'!M100</f>
        <v>0</v>
      </c>
      <c r="C15" s="136">
        <f>'Keuzeblad maatregelen'!O100</f>
        <v>0</v>
      </c>
    </row>
    <row r="16" spans="1:3" ht="20.100000000000001" customHeight="1">
      <c r="A16" s="130" t="s">
        <v>312</v>
      </c>
      <c r="B16" s="130">
        <f>'Keuzeblad maatregelen'!M107</f>
        <v>0</v>
      </c>
      <c r="C16" s="135">
        <f>'Keuzeblad maatregelen'!O107</f>
        <v>0</v>
      </c>
    </row>
    <row r="17" spans="1:6">
      <c r="A17" s="120"/>
      <c r="B17" s="120"/>
      <c r="C17" s="120"/>
    </row>
    <row r="18" spans="1:6" ht="15.75">
      <c r="A18" s="141" t="s">
        <v>296</v>
      </c>
      <c r="B18" s="143" t="s">
        <v>302</v>
      </c>
      <c r="C18" s="143"/>
    </row>
    <row r="19" spans="1:6">
      <c r="A19" s="125" t="str">
        <f>"Warmtepomp "&amp;IF(Hulpblad!C104="Geen warmtepomp","",Hulpblad!C104)</f>
        <v xml:space="preserve">Warmtepomp </v>
      </c>
      <c r="B19" s="137" t="str">
        <f>IF('Keuzeblad maatregelen'!C142=0,"",'Keuzeblad maatregelen'!C142)</f>
        <v/>
      </c>
      <c r="C19" s="126">
        <f>'Keuzeblad maatregelen'!O120</f>
        <v>0</v>
      </c>
    </row>
    <row r="20" spans="1:6">
      <c r="A20" s="127"/>
      <c r="B20" s="144"/>
      <c r="C20" s="128"/>
    </row>
    <row r="21" spans="1:6" ht="15.75">
      <c r="A21" s="146" t="s">
        <v>9</v>
      </c>
      <c r="B21" s="145"/>
      <c r="C21" s="143"/>
    </row>
    <row r="22" spans="1:6">
      <c r="A22" s="125" t="str">
        <f>IF(Hulpblad!C132="Geen zonneboiler","Zonneboiler",Hulpblad!C132)</f>
        <v>Zonneboiler</v>
      </c>
      <c r="B22" s="125"/>
      <c r="C22" s="126">
        <f>'Keuzeblad maatregelen'!O147</f>
        <v>0</v>
      </c>
      <c r="D22" s="121" t="s">
        <v>300</v>
      </c>
    </row>
    <row r="23" spans="1:6">
      <c r="A23" s="120"/>
      <c r="B23" s="120"/>
      <c r="C23" s="123"/>
    </row>
    <row r="24" spans="1:6" ht="15.75">
      <c r="A24" s="146" t="s">
        <v>303</v>
      </c>
      <c r="B24" s="124"/>
      <c r="C24" s="143"/>
    </row>
    <row r="25" spans="1:6">
      <c r="A25" s="125" t="s">
        <v>297</v>
      </c>
      <c r="B25" s="125"/>
      <c r="C25" s="126">
        <f>'Keuzeblad maatregelen'!O159</f>
        <v>0</v>
      </c>
      <c r="F25" s="120"/>
    </row>
    <row r="26" spans="1:6">
      <c r="A26" s="125" t="s">
        <v>61</v>
      </c>
      <c r="B26" s="125"/>
      <c r="C26" s="126">
        <f>'Keuzeblad maatregelen'!O179</f>
        <v>0</v>
      </c>
    </row>
    <row r="28" spans="1:6" ht="23.25">
      <c r="A28" s="139" t="s">
        <v>299</v>
      </c>
      <c r="C28" s="140">
        <f>SUM(C5:C8)+SUM(C11:C16)+SUM(C19:C25)+C26</f>
        <v>0</v>
      </c>
    </row>
  </sheetData>
  <sheetProtection algorithmName="SHA-512" hashValue="CJZlYrGubka7GpIhW83YGoipYNq/kAkOA0akDH3Q7OmWUtnDlNgTZ8BB5KpTdOISCN9LCp9BPz3eHjogb7/C9w==" saltValue="GY7d3RkRQzoxvrd5s1c2pA==" spinCount="100000" sheet="1" objects="1" scenarios="1"/>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N339"/>
  <sheetViews>
    <sheetView topLeftCell="F38" zoomScale="75" zoomScaleNormal="75" workbookViewId="0">
      <selection activeCell="L55" sqref="L55"/>
    </sheetView>
  </sheetViews>
  <sheetFormatPr defaultRowHeight="15"/>
  <cols>
    <col min="2" max="2" width="74.42578125" customWidth="1"/>
    <col min="3" max="3" width="97.85546875" customWidth="1"/>
    <col min="4" max="4" width="58.42578125" customWidth="1"/>
    <col min="5" max="5" width="75.85546875" customWidth="1"/>
    <col min="6" max="6" width="70.85546875" customWidth="1"/>
    <col min="7" max="7" width="32.85546875" customWidth="1"/>
    <col min="8" max="8" width="44.28515625" customWidth="1"/>
    <col min="9" max="9" width="33.42578125" customWidth="1"/>
    <col min="10" max="10" width="30.7109375" customWidth="1"/>
    <col min="11" max="11" width="29.28515625" customWidth="1"/>
    <col min="12" max="12" width="30" customWidth="1"/>
    <col min="13" max="13" width="26.140625" customWidth="1"/>
    <col min="14" max="14" width="29.5703125" customWidth="1"/>
  </cols>
  <sheetData>
    <row r="1" spans="1:14" ht="18.75">
      <c r="A1" s="13" t="s">
        <v>72</v>
      </c>
      <c r="H1" s="44" t="s">
        <v>130</v>
      </c>
    </row>
    <row r="2" spans="1:14">
      <c r="M2" s="174" t="s">
        <v>90</v>
      </c>
    </row>
    <row r="3" spans="1:14">
      <c r="B3" s="1" t="s">
        <v>98</v>
      </c>
      <c r="E3" s="1"/>
      <c r="M3" s="174"/>
    </row>
    <row r="4" spans="1:14">
      <c r="B4" s="11">
        <v>1</v>
      </c>
      <c r="C4" s="11"/>
      <c r="M4" s="174"/>
    </row>
    <row r="5" spans="1:14">
      <c r="B5" s="7"/>
      <c r="M5" s="174"/>
    </row>
    <row r="6" spans="1:14">
      <c r="C6" s="48"/>
      <c r="E6" s="11"/>
      <c r="M6" s="174"/>
    </row>
    <row r="7" spans="1:14">
      <c r="M7" s="174"/>
      <c r="N7" s="176" t="s">
        <v>120</v>
      </c>
    </row>
    <row r="8" spans="1:14" ht="18.75" customHeight="1">
      <c r="B8" s="14" t="s">
        <v>3</v>
      </c>
      <c r="C8" s="2"/>
      <c r="D8" s="2"/>
      <c r="E8" s="2"/>
      <c r="F8" s="2"/>
      <c r="M8" s="174"/>
      <c r="N8" s="176"/>
    </row>
    <row r="9" spans="1:14">
      <c r="B9" s="10"/>
      <c r="C9" s="2"/>
      <c r="D9" s="2"/>
      <c r="E9" s="2"/>
      <c r="F9" s="2"/>
      <c r="M9" s="174"/>
      <c r="N9" s="176"/>
    </row>
    <row r="10" spans="1:14" ht="33.75" customHeight="1">
      <c r="B10" s="10" t="s">
        <v>73</v>
      </c>
      <c r="E10" s="1" t="s">
        <v>80</v>
      </c>
      <c r="G10" s="1" t="s">
        <v>77</v>
      </c>
      <c r="H10" s="1" t="s">
        <v>78</v>
      </c>
      <c r="I10" s="46" t="s">
        <v>132</v>
      </c>
      <c r="J10" s="49" t="s">
        <v>133</v>
      </c>
      <c r="K10" s="50" t="s">
        <v>131</v>
      </c>
      <c r="L10" s="10" t="s">
        <v>89</v>
      </c>
      <c r="M10" s="174"/>
      <c r="N10" s="176"/>
    </row>
    <row r="11" spans="1:14">
      <c r="A11">
        <v>1</v>
      </c>
      <c r="B11" t="s">
        <v>55</v>
      </c>
      <c r="D11">
        <v>1</v>
      </c>
      <c r="E11" t="s">
        <v>63</v>
      </c>
      <c r="G11" s="3"/>
      <c r="H11" s="3"/>
      <c r="I11" s="3">
        <v>0</v>
      </c>
      <c r="J11" s="7">
        <v>0</v>
      </c>
      <c r="K11" s="7">
        <f>IF($F$15="Op of ná 1 januari 2024",J11,
IF(OR($F$15="Vóór 2 april 2022 én ≤ 24 maanden geleden",$F$15="2 april 2022 - 31 december 2023 én ≤ 24 maanden geleden"),I11,0))</f>
        <v>0</v>
      </c>
      <c r="L11" s="51">
        <f>IF(AND($C$89=1,$E$15=1),0,
IF(AND($C$89=1,$E$15=2),0,
IF(AND($C$89=1,$E$15=3),1,
IF(AND($C$89=1,$E$15=4),1,
IF($C$89&gt;1,2,0)))))</f>
        <v>0</v>
      </c>
      <c r="M11" s="2">
        <f>K11*L11</f>
        <v>0</v>
      </c>
      <c r="N11">
        <v>0</v>
      </c>
    </row>
    <row r="12" spans="1:14">
      <c r="A12">
        <v>2</v>
      </c>
      <c r="B12" s="3" t="str">
        <f>C167</f>
        <v>Dakisolatie, Rd ≥ 3,5 m2 K/W</v>
      </c>
      <c r="D12">
        <v>2</v>
      </c>
      <c r="E12" t="s">
        <v>135</v>
      </c>
      <c r="G12" s="3">
        <v>20</v>
      </c>
      <c r="H12" s="3">
        <v>200</v>
      </c>
      <c r="I12" s="3">
        <v>15</v>
      </c>
      <c r="J12" s="7">
        <v>15</v>
      </c>
      <c r="K12" s="7">
        <f t="shared" ref="K12:K13" si="0">IF($F$15="Op of ná 1 januari 2024",J12,
IF(OR($F$15="Vóór 2 april 2022 én ≤ 24 maanden geleden",$F$15="2 april 2022 - 31 december 2023 én ≤ 24 maanden geleden"),I12,0))</f>
        <v>0</v>
      </c>
      <c r="L12" s="51">
        <f t="shared" ref="L12:L13" si="1">IF(AND($C$89=1,$E$15=1),0,
IF(AND($C$89=1,$E$15=2),0,
IF(AND($C$89=1,$E$15=3),1,
IF(AND($C$89=1,$E$15=4),1,
IF($C$89&gt;1,2,0)))))</f>
        <v>0</v>
      </c>
      <c r="M12" s="2">
        <f t="shared" ref="M12:M31" si="2">K12*L12</f>
        <v>0</v>
      </c>
      <c r="N12">
        <f>IF($F$15="Op of ná 1 januari 2024",H167,0)</f>
        <v>0</v>
      </c>
    </row>
    <row r="13" spans="1:14">
      <c r="A13">
        <v>3</v>
      </c>
      <c r="B13" t="str">
        <f>C168</f>
        <v>Zolder-of vlieringisolatie, Rd ≥ 3,5 m2 K/W</v>
      </c>
      <c r="D13">
        <v>3</v>
      </c>
      <c r="E13" t="s">
        <v>137</v>
      </c>
      <c r="G13" s="3">
        <v>20</v>
      </c>
      <c r="H13" s="3">
        <v>130</v>
      </c>
      <c r="I13" s="3">
        <v>4</v>
      </c>
      <c r="J13" s="7">
        <v>4</v>
      </c>
      <c r="K13" s="7">
        <f t="shared" si="0"/>
        <v>0</v>
      </c>
      <c r="L13" s="51">
        <f t="shared" si="1"/>
        <v>0</v>
      </c>
      <c r="M13" s="2">
        <f t="shared" si="2"/>
        <v>0</v>
      </c>
      <c r="N13">
        <f>IF($F$15="Op of ná 1 januari 2024",H168,0)</f>
        <v>0</v>
      </c>
    </row>
    <row r="14" spans="1:14">
      <c r="B14" s="11">
        <v>1</v>
      </c>
      <c r="C14" s="11" t="str">
        <f>VLOOKUP(B14,A11:B13,2,FALSE)</f>
        <v>Geen dakisolatie</v>
      </c>
      <c r="D14">
        <v>4</v>
      </c>
      <c r="E14" t="s">
        <v>136</v>
      </c>
      <c r="G14" s="3"/>
      <c r="H14" s="3"/>
      <c r="I14" s="3"/>
      <c r="J14" s="7"/>
      <c r="K14" s="7"/>
      <c r="L14" s="51"/>
      <c r="M14" s="2"/>
    </row>
    <row r="15" spans="1:14">
      <c r="E15" s="11">
        <v>1</v>
      </c>
      <c r="F15" s="11" t="str">
        <f>VLOOKUP(E15,D11:E14,2,FALSE)</f>
        <v>Niet van toepassing</v>
      </c>
      <c r="G15" s="2">
        <v>20</v>
      </c>
      <c r="H15" s="11">
        <f>IF(C14="Dakisolatie, Rd ≥ 3,5 m2 K/W",200,130)</f>
        <v>130</v>
      </c>
      <c r="I15" s="3"/>
      <c r="J15" s="7"/>
      <c r="K15" s="7"/>
      <c r="L15" s="7"/>
      <c r="M15" s="2"/>
    </row>
    <row r="16" spans="1:14">
      <c r="B16" s="10" t="s">
        <v>74</v>
      </c>
      <c r="E16" s="1" t="s">
        <v>80</v>
      </c>
      <c r="G16" s="3"/>
      <c r="H16" s="3"/>
      <c r="I16" s="3"/>
      <c r="J16" s="7"/>
      <c r="K16" s="7"/>
      <c r="L16" s="51"/>
      <c r="M16" s="2"/>
    </row>
    <row r="17" spans="1:14">
      <c r="A17">
        <v>1</v>
      </c>
      <c r="B17" s="3" t="s">
        <v>56</v>
      </c>
      <c r="C17" s="3"/>
      <c r="D17">
        <v>1</v>
      </c>
      <c r="E17" t="s">
        <v>63</v>
      </c>
      <c r="G17" s="3"/>
      <c r="H17" s="3"/>
      <c r="I17" s="3">
        <v>0</v>
      </c>
      <c r="J17" s="7">
        <v>0</v>
      </c>
      <c r="K17" s="7">
        <f>IF($F$21="Op of ná 1 januari 2024",J17,
IF(OR($F$21="Vóór 2 april 2022 én ≤ 24 maanden geleden",$F$21="2 april 2022 - 31 december 2023 én ≤ 24 maanden geleden"),I17,0))</f>
        <v>0</v>
      </c>
      <c r="L17" s="51">
        <f>IF(AND($C$89=1,$E$21=1),0,
IF(AND($C$89=1,$E$21=2),0,
IF(AND($C$89=1,$E$21=3),1,
IF(AND($C$89=1,$E$21=4),1,
IF($C$89&gt;1,2,0)))))</f>
        <v>0</v>
      </c>
      <c r="M17" s="2">
        <f t="shared" si="2"/>
        <v>0</v>
      </c>
      <c r="N17">
        <v>0</v>
      </c>
    </row>
    <row r="18" spans="1:14">
      <c r="A18">
        <v>2</v>
      </c>
      <c r="B18" s="3" t="str">
        <f>C169</f>
        <v>Binnen-of buitengevelisolatie, Rd ≥ 3,5m2 K/W</v>
      </c>
      <c r="C18" s="3"/>
      <c r="D18">
        <v>2</v>
      </c>
      <c r="E18" t="s">
        <v>135</v>
      </c>
      <c r="G18" s="3">
        <v>10</v>
      </c>
      <c r="H18" s="3">
        <v>170</v>
      </c>
      <c r="I18" s="3">
        <v>19</v>
      </c>
      <c r="J18" s="7">
        <v>19</v>
      </c>
      <c r="K18" s="7">
        <f>IF($F$21="Op of ná 1 januari 2024",J18,
IF(OR($F$21="Vóór 2 april 2022 én ≤ 24 maanden geleden",$F$21="2 april 2022 - 31 december 2023 én ≤ 24 maanden geleden"),I18,0))</f>
        <v>0</v>
      </c>
      <c r="L18" s="51">
        <f>IF(AND($C$89=1,$E$21=1),0,
IF(AND($C$89=1,$E$21=2),0,
IF(AND($C$89=1,$E$21=3),1,
IF(AND($C$89=1,$E$21=4),1,
IF($C$89&gt;1,2,0)))))</f>
        <v>0</v>
      </c>
      <c r="M18" s="2">
        <f t="shared" si="2"/>
        <v>0</v>
      </c>
      <c r="N18">
        <f>IF($F$21="Op of ná 1 januari 2024",H169,0)</f>
        <v>0</v>
      </c>
    </row>
    <row r="19" spans="1:14">
      <c r="B19" s="11">
        <v>1</v>
      </c>
      <c r="C19" s="11" t="str">
        <f>VLOOKUP(B19,A17:B18,2,FALSE)</f>
        <v>Geen gevelisolatie</v>
      </c>
      <c r="D19">
        <v>3</v>
      </c>
      <c r="E19" t="s">
        <v>137</v>
      </c>
      <c r="G19" s="3"/>
      <c r="H19" s="3"/>
      <c r="I19" s="3"/>
      <c r="J19" s="7"/>
      <c r="K19" s="7"/>
      <c r="L19" s="51"/>
      <c r="M19" s="2"/>
    </row>
    <row r="20" spans="1:14">
      <c r="B20" s="11"/>
      <c r="C20" s="11"/>
      <c r="D20">
        <v>4</v>
      </c>
      <c r="E20" t="s">
        <v>136</v>
      </c>
      <c r="G20" s="3"/>
      <c r="H20" s="3"/>
      <c r="I20" s="3"/>
      <c r="J20" s="7"/>
      <c r="K20" s="7"/>
      <c r="L20" s="51"/>
      <c r="M20" s="2"/>
    </row>
    <row r="21" spans="1:14">
      <c r="E21" s="11">
        <v>1</v>
      </c>
      <c r="F21" s="11" t="str">
        <f>VLOOKUP(E21,D17:E20,2,FALSE)</f>
        <v>Niet van toepassing</v>
      </c>
      <c r="G21" s="3"/>
      <c r="H21" s="3"/>
      <c r="I21" s="3"/>
      <c r="J21" s="7"/>
      <c r="K21" s="7"/>
      <c r="L21" s="51"/>
      <c r="M21" s="2"/>
    </row>
    <row r="22" spans="1:14">
      <c r="B22" s="10" t="s">
        <v>75</v>
      </c>
      <c r="E22" s="1" t="s">
        <v>80</v>
      </c>
      <c r="G22" s="3"/>
      <c r="H22" s="3"/>
      <c r="I22" s="3"/>
      <c r="J22" s="7"/>
      <c r="K22" s="7"/>
      <c r="L22" s="51"/>
      <c r="M22" s="2"/>
    </row>
    <row r="23" spans="1:14">
      <c r="A23">
        <v>1</v>
      </c>
      <c r="B23" s="3" t="s">
        <v>57</v>
      </c>
      <c r="C23" s="3"/>
      <c r="D23">
        <v>1</v>
      </c>
      <c r="E23" t="s">
        <v>63</v>
      </c>
      <c r="G23" s="3"/>
      <c r="H23" s="3"/>
      <c r="I23" s="3">
        <v>0</v>
      </c>
      <c r="J23" s="7">
        <v>0</v>
      </c>
      <c r="K23" s="7">
        <f>IF($F$27="Op of ná 1 januari 2024",J23,
IF(OR($F$27="Vóór 2 april 2022 én ≤ 24 maanden geleden",$F$27="2 april 2022 - 31 december 2023 én ≤ 24 maanden geleden"),I23,0))</f>
        <v>0</v>
      </c>
      <c r="L23" s="51">
        <f>IF(AND($C$89=1,$E$27=1),0,
IF(AND($C$89=1,$E$27=2),0,
IF(AND($C$89=1,$E$27=3),1,
IF(AND($C$89=1,$E$27=4),1,
IF($C$89&gt;1,2,0)))))</f>
        <v>0</v>
      </c>
      <c r="M23" s="2">
        <f t="shared" si="2"/>
        <v>0</v>
      </c>
      <c r="N23">
        <f>IF($F$21="Op of ná 1 januari 2024",H174,0)</f>
        <v>0</v>
      </c>
    </row>
    <row r="24" spans="1:14">
      <c r="A24">
        <v>2</v>
      </c>
      <c r="B24" s="3" t="str">
        <f>C170</f>
        <v>Spouwmuurisolatie, Rd ≥ 1,1 m2 K/W</v>
      </c>
      <c r="C24" s="3"/>
      <c r="D24">
        <v>2</v>
      </c>
      <c r="E24" t="s">
        <v>135</v>
      </c>
      <c r="G24" s="3">
        <v>10</v>
      </c>
      <c r="H24" s="3">
        <v>170</v>
      </c>
      <c r="I24" s="3">
        <v>4</v>
      </c>
      <c r="J24" s="7">
        <v>4</v>
      </c>
      <c r="K24" s="7">
        <f>IF($F$27="Op of ná 1 januari 2024",J24,
IF(OR($F$27="Vóór 2 april 2022 én ≤ 24 maanden geleden",$F$27="2 april 2022 - 31 december 2023 én ≤ 24 maanden geleden"),I24,0))</f>
        <v>0</v>
      </c>
      <c r="L24" s="51">
        <f>IF(AND($C$89=1,$E$27=1),0,
IF(AND($C$89=1,$E$27=2),0,
IF(AND($C$89=1,$E$27=3),1,
IF(AND($C$89=1,$E$27=4),1,
IF($C$89&gt;1,2,0)))))</f>
        <v>0</v>
      </c>
      <c r="M24" s="2">
        <f t="shared" si="2"/>
        <v>0</v>
      </c>
      <c r="N24">
        <f>IF($F$27="Op of ná 1 januari 2024",H170,0)</f>
        <v>0</v>
      </c>
    </row>
    <row r="25" spans="1:14">
      <c r="B25" s="11">
        <v>1</v>
      </c>
      <c r="C25" s="11" t="str">
        <f>VLOOKUP(B25,A23:B24,2,FALSE)</f>
        <v>Geen spouwmuurisolatie</v>
      </c>
      <c r="D25">
        <v>3</v>
      </c>
      <c r="E25" t="s">
        <v>137</v>
      </c>
      <c r="G25" s="3"/>
      <c r="H25" s="3"/>
      <c r="I25" s="3"/>
      <c r="J25" s="7"/>
      <c r="K25" s="7"/>
      <c r="L25" s="51"/>
      <c r="M25" s="2"/>
    </row>
    <row r="26" spans="1:14">
      <c r="B26" s="11"/>
      <c r="C26" s="11"/>
      <c r="D26">
        <v>4</v>
      </c>
      <c r="E26" t="s">
        <v>136</v>
      </c>
      <c r="G26" s="3"/>
      <c r="H26" s="3"/>
      <c r="I26" s="3"/>
      <c r="J26" s="7"/>
      <c r="K26" s="7"/>
      <c r="L26" s="51"/>
      <c r="M26" s="2"/>
    </row>
    <row r="27" spans="1:14">
      <c r="B27" s="11"/>
      <c r="C27" s="11"/>
      <c r="E27" s="11">
        <v>1</v>
      </c>
      <c r="F27" s="11" t="str">
        <f>VLOOKUP(E27,D23:E26,2,FALSE)</f>
        <v>Niet van toepassing</v>
      </c>
      <c r="G27" s="3"/>
      <c r="H27" s="3"/>
      <c r="I27" s="3"/>
      <c r="J27" s="7"/>
      <c r="K27" s="7"/>
      <c r="L27" s="51"/>
      <c r="M27" s="2"/>
    </row>
    <row r="28" spans="1:14">
      <c r="B28" s="10" t="s">
        <v>76</v>
      </c>
      <c r="E28" s="1" t="s">
        <v>80</v>
      </c>
      <c r="G28" s="3"/>
      <c r="H28" s="3"/>
      <c r="I28" s="3"/>
      <c r="J28" s="7"/>
      <c r="K28" s="7"/>
      <c r="L28" s="51"/>
      <c r="M28" s="2"/>
    </row>
    <row r="29" spans="1:14">
      <c r="A29">
        <v>1</v>
      </c>
      <c r="B29" s="3" t="s">
        <v>58</v>
      </c>
      <c r="C29" s="3"/>
      <c r="D29">
        <v>1</v>
      </c>
      <c r="E29" t="s">
        <v>63</v>
      </c>
      <c r="G29" s="3"/>
      <c r="H29" s="3"/>
      <c r="I29" s="3">
        <v>0</v>
      </c>
      <c r="J29" s="7">
        <v>0</v>
      </c>
      <c r="K29" s="7">
        <f>IF($F$33="Op of ná 1 januari 2024",J29,
IF(OR($F$33="Vóór 2 april 2022 én ≤ 24 maanden geleden",$F$33="2 april 2022 - 31 december 2023 én ≤ 24 maanden geleden"),I29,0))</f>
        <v>0</v>
      </c>
      <c r="L29" s="51">
        <f>IF(AND($C$89=1,$E$33=1),0,
IF(AND($C$89=1,$E$33=2),0,
IF(AND($C$89=1,$E$33=3),1,
IF(AND($C$89=1,$E$33=4),1,
IF($C$89&gt;1,2,0)))))</f>
        <v>0</v>
      </c>
      <c r="M29" s="2">
        <f t="shared" si="2"/>
        <v>0</v>
      </c>
      <c r="N29">
        <v>0</v>
      </c>
    </row>
    <row r="30" spans="1:14">
      <c r="A30">
        <v>2</v>
      </c>
      <c r="B30" s="3" t="str">
        <f>C171</f>
        <v>Vloerisolatie, Rd ≥ 3,5m2 K/W</v>
      </c>
      <c r="C30" s="3"/>
      <c r="D30">
        <v>2</v>
      </c>
      <c r="E30" t="s">
        <v>135</v>
      </c>
      <c r="G30" s="3">
        <v>20</v>
      </c>
      <c r="H30" s="3">
        <v>130</v>
      </c>
      <c r="I30" s="3">
        <v>5.5</v>
      </c>
      <c r="J30" s="7">
        <v>5.5</v>
      </c>
      <c r="K30" s="7">
        <f t="shared" ref="K30:K31" si="3">IF($F$33="Op of ná 1 januari 2024",J30,
IF(OR($F$33="Vóór 2 april 2022 én ≤ 24 maanden geleden",$F$33="2 april 2022 - 31 december 2023 én ≤ 24 maanden geleden"),I30,0))</f>
        <v>0</v>
      </c>
      <c r="L30" s="51">
        <f t="shared" ref="L30:L31" si="4">IF(AND($C$89=1,$E$33=1),0,
IF(AND($C$89=1,$E$33=2),0,
IF(AND($C$89=1,$E$33=3),1,
IF(AND($C$89=1,$E$33=4),1,
IF($C$89&gt;1,2,0)))))</f>
        <v>0</v>
      </c>
      <c r="M30" s="2">
        <f t="shared" si="2"/>
        <v>0</v>
      </c>
      <c r="N30">
        <f>IF($F$33="Op of ná 1 januari 2024",H171,0)</f>
        <v>0</v>
      </c>
    </row>
    <row r="31" spans="1:14">
      <c r="A31">
        <v>3</v>
      </c>
      <c r="B31" s="3" t="str">
        <f>C172</f>
        <v>Bodemisolatie, Rd ≥ 3,5m2 K/W</v>
      </c>
      <c r="C31" s="3"/>
      <c r="D31">
        <v>3</v>
      </c>
      <c r="E31" t="s">
        <v>137</v>
      </c>
      <c r="G31" s="3">
        <v>20</v>
      </c>
      <c r="H31" s="3">
        <v>130</v>
      </c>
      <c r="I31" s="45">
        <v>3</v>
      </c>
      <c r="J31" s="7">
        <v>3</v>
      </c>
      <c r="K31" s="7">
        <f t="shared" si="3"/>
        <v>0</v>
      </c>
      <c r="L31" s="51">
        <f t="shared" si="4"/>
        <v>0</v>
      </c>
      <c r="M31" s="2">
        <f t="shared" si="2"/>
        <v>0</v>
      </c>
      <c r="N31">
        <f>IF($F$33="Op of ná 1 januari 2024",H172,0)</f>
        <v>0</v>
      </c>
    </row>
    <row r="32" spans="1:14">
      <c r="B32" s="11">
        <v>1</v>
      </c>
      <c r="C32" s="11" t="str">
        <f>VLOOKUP(B32,A29:B31,2,FALSE)</f>
        <v>Geen vloerisolatie</v>
      </c>
      <c r="D32">
        <v>4</v>
      </c>
      <c r="E32" t="s">
        <v>136</v>
      </c>
      <c r="G32" s="3"/>
      <c r="H32" s="3"/>
      <c r="I32" s="45"/>
      <c r="J32" s="7"/>
      <c r="K32" s="7"/>
      <c r="L32" s="51"/>
      <c r="M32" s="2"/>
    </row>
    <row r="33" spans="1:13">
      <c r="D33" s="2"/>
      <c r="E33" s="11">
        <v>1</v>
      </c>
      <c r="F33" s="11" t="str">
        <f>VLOOKUP(E33,D29:E32,2,FALSE)</f>
        <v>Niet van toepassing</v>
      </c>
    </row>
    <row r="34" spans="1:13">
      <c r="B34" s="11"/>
      <c r="C34" s="11"/>
      <c r="D34" s="2"/>
      <c r="E34" s="2"/>
      <c r="F34" s="2"/>
    </row>
    <row r="35" spans="1:13">
      <c r="B35" s="10" t="s">
        <v>123</v>
      </c>
      <c r="C35" s="11"/>
      <c r="D35" s="2"/>
      <c r="E35" s="2"/>
      <c r="F35" s="2"/>
    </row>
    <row r="36" spans="1:13">
      <c r="B36" t="b">
        <v>0</v>
      </c>
      <c r="C36" s="11" t="s">
        <v>124</v>
      </c>
      <c r="D36" s="2"/>
      <c r="E36" s="2"/>
      <c r="F36" s="2"/>
    </row>
    <row r="37" spans="1:13">
      <c r="B37" t="b">
        <v>0</v>
      </c>
      <c r="C37" s="11" t="s">
        <v>125</v>
      </c>
      <c r="D37" s="2"/>
      <c r="E37" s="2"/>
      <c r="F37" s="2"/>
    </row>
    <row r="38" spans="1:13">
      <c r="B38" t="b">
        <v>0</v>
      </c>
      <c r="C38" s="11" t="s">
        <v>126</v>
      </c>
      <c r="D38" s="2"/>
      <c r="E38" s="2"/>
      <c r="F38" s="2"/>
    </row>
    <row r="39" spans="1:13">
      <c r="B39" t="b">
        <v>0</v>
      </c>
      <c r="C39" s="11" t="s">
        <v>127</v>
      </c>
      <c r="D39" s="2"/>
      <c r="E39" s="2"/>
      <c r="F39" s="2"/>
    </row>
    <row r="40" spans="1:13">
      <c r="B40" s="3"/>
      <c r="C40" s="3"/>
      <c r="D40" s="2"/>
      <c r="E40" s="2"/>
      <c r="F40" s="2"/>
    </row>
    <row r="41" spans="1:13">
      <c r="B41" s="10" t="s">
        <v>7</v>
      </c>
      <c r="C41" s="3"/>
      <c r="F41" s="2"/>
    </row>
    <row r="42" spans="1:13" ht="15" customHeight="1">
      <c r="A42">
        <v>1</v>
      </c>
      <c r="B42" s="3" t="s">
        <v>59</v>
      </c>
      <c r="C42" s="3"/>
      <c r="E42" s="3"/>
      <c r="F42" s="3"/>
      <c r="G42" s="2"/>
      <c r="M42" s="175" t="s">
        <v>90</v>
      </c>
    </row>
    <row r="43" spans="1:13">
      <c r="A43">
        <v>2</v>
      </c>
      <c r="B43" s="3" t="s">
        <v>81</v>
      </c>
      <c r="C43" s="3"/>
      <c r="E43" s="3"/>
      <c r="F43" s="3"/>
      <c r="G43" s="2"/>
      <c r="M43" s="163"/>
    </row>
    <row r="44" spans="1:13">
      <c r="B44" s="11">
        <v>1</v>
      </c>
      <c r="C44" s="11" t="str">
        <f>VLOOKUP(B44,A42:B43,2,FALSE)</f>
        <v>Geen glasisolatie</v>
      </c>
      <c r="E44" s="3"/>
      <c r="F44" s="3"/>
      <c r="G44" s="2"/>
      <c r="M44" s="163"/>
    </row>
    <row r="45" spans="1:13">
      <c r="B45" s="11"/>
      <c r="C45" s="11"/>
      <c r="E45" s="3"/>
      <c r="F45" s="3"/>
      <c r="G45" s="2"/>
      <c r="M45" s="163"/>
    </row>
    <row r="46" spans="1:13" ht="15" customHeight="1">
      <c r="B46" s="10" t="s">
        <v>82</v>
      </c>
      <c r="C46" s="10" t="s">
        <v>95</v>
      </c>
      <c r="E46" s="3"/>
      <c r="F46" s="1" t="s">
        <v>80</v>
      </c>
      <c r="G46" s="10" t="s">
        <v>83</v>
      </c>
      <c r="I46" s="10" t="s">
        <v>84</v>
      </c>
      <c r="J46" s="10" t="s">
        <v>85</v>
      </c>
      <c r="K46" s="11" t="s">
        <v>91</v>
      </c>
      <c r="L46" s="11" t="s">
        <v>89</v>
      </c>
      <c r="M46" s="12"/>
    </row>
    <row r="47" spans="1:13">
      <c r="A47">
        <v>1</v>
      </c>
      <c r="B47" t="str">
        <f>IF(C44="Geen glasisolatie","Niet van toepassing","Kiest u voor HR++ glas, U ≤ 1,2 W/m2K?")</f>
        <v>Niet van toepassing</v>
      </c>
      <c r="C47" s="11">
        <v>1</v>
      </c>
      <c r="D47" s="11" t="str">
        <f>VLOOKUP(C47,$A$72:$B$73,2,FALSE)</f>
        <v>Niet van toepassing</v>
      </c>
      <c r="E47" s="3">
        <v>1</v>
      </c>
      <c r="F47" t="s">
        <v>63</v>
      </c>
      <c r="G47" s="11">
        <v>1</v>
      </c>
      <c r="H47" s="11" t="str">
        <f>VLOOKUP(G47,E47:F50,2,FALSE)</f>
        <v>Niet van toepassing</v>
      </c>
      <c r="I47" s="3">
        <v>26.5</v>
      </c>
      <c r="J47" s="15">
        <v>23</v>
      </c>
      <c r="K47" s="51">
        <f>IF(H47="Op of ná 1 januari 2023",J47,
IF(OR(H47="Vóór 2 april 2022 én ≤ 24 maanden geleden",H47="2 april - 31 december 2022 ≤ 24 maanden geleden"),I47,0))</f>
        <v>0</v>
      </c>
      <c r="L47" s="48">
        <f>IF(AND(D47="Ja",$C$89=1,G47&lt;=2),0,
IF(AND(D47="Ja",$C$89=1,G47&gt;=3),1,
IF(AND(D47="Ja",$C$89&gt;1),2,0)))</f>
        <v>0</v>
      </c>
      <c r="M47" s="11">
        <f>K47*L47</f>
        <v>0</v>
      </c>
    </row>
    <row r="48" spans="1:13">
      <c r="C48" s="3"/>
      <c r="D48" s="11"/>
      <c r="E48" s="3">
        <v>2</v>
      </c>
      <c r="F48" t="s">
        <v>135</v>
      </c>
      <c r="G48" s="2"/>
      <c r="H48" s="11"/>
      <c r="K48" s="51"/>
      <c r="L48" s="48"/>
      <c r="M48" s="11"/>
    </row>
    <row r="49" spans="1:13">
      <c r="C49" s="3"/>
      <c r="D49" s="11"/>
      <c r="E49" s="3">
        <v>3</v>
      </c>
      <c r="F49" t="s">
        <v>269</v>
      </c>
      <c r="G49" s="2"/>
      <c r="H49" s="11"/>
      <c r="K49" s="51"/>
      <c r="L49" s="48"/>
      <c r="M49" s="11"/>
    </row>
    <row r="50" spans="1:13">
      <c r="C50" s="3"/>
      <c r="D50" s="11"/>
      <c r="E50" s="3">
        <v>4</v>
      </c>
      <c r="F50" t="s">
        <v>270</v>
      </c>
      <c r="G50" s="2"/>
      <c r="H50" s="11"/>
      <c r="K50" s="51"/>
      <c r="L50" s="48"/>
      <c r="M50" s="11"/>
    </row>
    <row r="51" spans="1:13">
      <c r="A51">
        <v>2</v>
      </c>
      <c r="B51" t="str">
        <f>IF(C44="Geen glasisolatie","Niet van toepassing","Kiest u voor Triple glas, U ≤ 0,7 W/m2K?")</f>
        <v>Niet van toepassing</v>
      </c>
      <c r="C51" s="11">
        <v>1</v>
      </c>
      <c r="D51" s="11" t="str">
        <f t="shared" ref="D51" si="5">VLOOKUP(C51,$A$72:$B$73,2,FALSE)</f>
        <v>Niet van toepassing</v>
      </c>
      <c r="E51" s="3">
        <v>1</v>
      </c>
      <c r="F51" t="s">
        <v>63</v>
      </c>
      <c r="G51" s="2">
        <v>1</v>
      </c>
      <c r="H51" s="11" t="str">
        <f>VLOOKUP(G51,E51:F54,2,FALSE)</f>
        <v>Niet van toepassing</v>
      </c>
      <c r="I51" s="3">
        <v>75</v>
      </c>
      <c r="J51" s="15">
        <v>65.5</v>
      </c>
      <c r="K51" s="51">
        <f>IF(H51="Op of ná 1 januari 2023",J51,
IF(OR(H51="Vóór 2 april 2022 én ≤ 24 maanden geleden",H51="2 april - 31 december 2022 ≤ 24 maanden geleden"),I51,0))</f>
        <v>0</v>
      </c>
      <c r="L51" s="48">
        <f>IF(AND(D51="Ja",$C$89=1,G51&lt;=2),0,
IF(AND(D51="Ja",$C$89=1,G51&gt;=3),1,
IF(AND(D51="Ja",$C$89&gt;1),2,0)))</f>
        <v>0</v>
      </c>
      <c r="M51" s="11">
        <f t="shared" ref="M51:M67" si="6">K51*L51</f>
        <v>0</v>
      </c>
    </row>
    <row r="52" spans="1:13">
      <c r="C52" s="3"/>
      <c r="D52" s="11"/>
      <c r="E52" s="3">
        <v>2</v>
      </c>
      <c r="F52" t="s">
        <v>135</v>
      </c>
      <c r="G52" s="2"/>
      <c r="H52" s="11"/>
      <c r="K52" s="51"/>
      <c r="L52" s="48"/>
      <c r="M52" s="11"/>
    </row>
    <row r="53" spans="1:13">
      <c r="C53" s="3"/>
      <c r="D53" s="11"/>
      <c r="E53" s="3">
        <v>3</v>
      </c>
      <c r="F53" t="s">
        <v>269</v>
      </c>
      <c r="G53" s="2"/>
      <c r="H53" s="11"/>
      <c r="K53" s="51"/>
      <c r="L53" s="48"/>
      <c r="M53" s="11"/>
    </row>
    <row r="54" spans="1:13">
      <c r="C54" s="3"/>
      <c r="D54" s="11"/>
      <c r="E54" s="3">
        <v>4</v>
      </c>
      <c r="F54" t="s">
        <v>270</v>
      </c>
      <c r="G54" s="2"/>
      <c r="H54" s="11"/>
      <c r="K54" s="51"/>
      <c r="L54" s="48"/>
      <c r="M54" s="11"/>
    </row>
    <row r="55" spans="1:13">
      <c r="A55">
        <v>3</v>
      </c>
      <c r="B55" t="str">
        <f>IF(OR(AND(D47="Ja",G47&gt;1),AND(D51="Ja",G51&gt;1)),"Kiest u ook voor Isolerende panelen in kozijnen, U ≤ 1,2 W/m2K?","Niet van toepassing")</f>
        <v>Niet van toepassing</v>
      </c>
      <c r="C55" s="11">
        <v>1</v>
      </c>
      <c r="D55" s="11" t="str">
        <f>VLOOKUP(C55,$A$76:$B$77,2,FALSE)</f>
        <v>Niet van toepassing</v>
      </c>
      <c r="E55" s="3">
        <v>1</v>
      </c>
      <c r="F55" t="s">
        <v>63</v>
      </c>
      <c r="G55" s="2">
        <v>1</v>
      </c>
      <c r="H55" s="11" t="str">
        <f>VLOOKUP(G55,E55:F58,2,FALSE)</f>
        <v>Niet van toepassing</v>
      </c>
      <c r="I55" s="3">
        <v>11.5</v>
      </c>
      <c r="J55" s="15">
        <v>10</v>
      </c>
      <c r="K55" s="51">
        <f>IF(H55="Op of ná 1 januari 2023",J55,
IF(OR(H55="Vóór 2 april 2022 én ≤ 24 maanden geleden",H55="2 april - 31 december 2022 ≤ 24 maanden geleden"),I55,0))</f>
        <v>0</v>
      </c>
      <c r="L55" s="48">
        <f>IF(B55="Niet van toepassing",0,
IF(AND(D55="Ja",$C$89=1,G55&lt;=2),0,
IF(AND(D55="Ja",$C$89=1,G55&gt;=3),1,
IF(AND(D55="Ja",$C$89&gt;1),2,0))))</f>
        <v>0</v>
      </c>
      <c r="M55" s="11">
        <f t="shared" si="6"/>
        <v>0</v>
      </c>
    </row>
    <row r="56" spans="1:13">
      <c r="C56" s="3"/>
      <c r="D56" s="11"/>
      <c r="E56" s="3">
        <v>2</v>
      </c>
      <c r="F56" t="s">
        <v>135</v>
      </c>
      <c r="G56" s="2"/>
      <c r="H56" s="11"/>
      <c r="K56" s="51"/>
      <c r="L56" s="48"/>
      <c r="M56" s="11"/>
    </row>
    <row r="57" spans="1:13">
      <c r="C57" s="3"/>
      <c r="D57" s="11"/>
      <c r="E57" s="3">
        <v>3</v>
      </c>
      <c r="F57" t="s">
        <v>269</v>
      </c>
      <c r="G57" s="2"/>
      <c r="H57" s="11"/>
      <c r="K57" s="51"/>
      <c r="L57" s="48"/>
      <c r="M57" s="11"/>
    </row>
    <row r="58" spans="1:13">
      <c r="C58" s="3"/>
      <c r="D58" s="11"/>
      <c r="E58" s="3">
        <v>4</v>
      </c>
      <c r="F58" t="s">
        <v>270</v>
      </c>
      <c r="G58" s="2"/>
      <c r="H58" s="11"/>
      <c r="K58" s="51"/>
      <c r="L58" s="48"/>
      <c r="M58" s="11"/>
    </row>
    <row r="59" spans="1:13">
      <c r="A59">
        <v>4</v>
      </c>
      <c r="B59" t="str">
        <f>IF(OR(AND(D47="Ja",G47&gt;1),AND(D51="Ja",G51&gt;1)),"Kiest u ook voor Isolerende panelen in kozijnen, U ≤ 0,7 W/m2K?","Niet van toepassing")</f>
        <v>Niet van toepassing</v>
      </c>
      <c r="C59" s="11">
        <v>1</v>
      </c>
      <c r="D59" s="11" t="str">
        <f>VLOOKUP(C59,$A$76:$B$77,2,FALSE)</f>
        <v>Niet van toepassing</v>
      </c>
      <c r="E59" s="3">
        <v>1</v>
      </c>
      <c r="F59" t="s">
        <v>63</v>
      </c>
      <c r="G59" s="2">
        <v>1</v>
      </c>
      <c r="H59" s="11" t="str">
        <f>VLOOKUP(G59,E59:F62,2,FALSE)</f>
        <v>Niet van toepassing</v>
      </c>
      <c r="I59" s="3">
        <v>57.5</v>
      </c>
      <c r="J59" s="15">
        <v>45</v>
      </c>
      <c r="K59" s="51">
        <f>IF(H59="Op of ná 1 januari 2023",J59,
IF(OR(H59="Vóór 2 april 2022 én ≤ 24 maanden geleden",H59="2 april - 31 december 2022 ≤ 24 maanden geleden"),I59,0))</f>
        <v>0</v>
      </c>
      <c r="L59" s="48">
        <f>IF(B59="Niet van toepassing",0,
IF(AND(D59="Ja",$C$89=1,G59&lt;=2),0,
IF(AND(D59="Ja",$C$89=1,G59&gt;=3),1,
IF(AND(D59="Ja",$C$89&gt;1),2,0))))</f>
        <v>0</v>
      </c>
      <c r="M59" s="11">
        <f t="shared" si="6"/>
        <v>0</v>
      </c>
    </row>
    <row r="60" spans="1:13">
      <c r="C60" s="3"/>
      <c r="D60" s="11"/>
      <c r="E60" s="3">
        <v>2</v>
      </c>
      <c r="F60" t="s">
        <v>135</v>
      </c>
      <c r="G60" s="2"/>
      <c r="H60" s="11"/>
      <c r="K60" s="51"/>
      <c r="L60" s="48"/>
      <c r="M60" s="11"/>
    </row>
    <row r="61" spans="1:13">
      <c r="C61" s="3"/>
      <c r="D61" s="11"/>
      <c r="E61" s="3">
        <v>3</v>
      </c>
      <c r="F61" t="s">
        <v>269</v>
      </c>
      <c r="G61" s="2"/>
      <c r="H61" s="11"/>
      <c r="K61" s="51"/>
      <c r="L61" s="48"/>
      <c r="M61" s="11"/>
    </row>
    <row r="62" spans="1:13">
      <c r="C62" s="3"/>
      <c r="D62" s="11"/>
      <c r="E62" s="3">
        <v>4</v>
      </c>
      <c r="F62" t="s">
        <v>270</v>
      </c>
      <c r="G62" s="2"/>
      <c r="H62" s="11"/>
      <c r="K62" s="51"/>
      <c r="L62" s="48"/>
      <c r="M62" s="11"/>
    </row>
    <row r="63" spans="1:13">
      <c r="A63">
        <v>5</v>
      </c>
      <c r="B63" t="str">
        <f>IF(OR(AND(D47="Ja",G47&gt;1),AND(D51="Ja",G51&gt;1)),"Kiest u ook voor Isolerende deuren, Ud ≤ 1,5 W/m2K?","Niet van toepassing")</f>
        <v>Niet van toepassing</v>
      </c>
      <c r="C63" s="11">
        <v>1</v>
      </c>
      <c r="D63" s="11" t="str">
        <f>VLOOKUP(C63,$A$76:$B$77,2,FALSE)</f>
        <v>Niet van toepassing</v>
      </c>
      <c r="E63" s="3">
        <v>1</v>
      </c>
      <c r="F63" t="s">
        <v>63</v>
      </c>
      <c r="G63" s="2">
        <v>1</v>
      </c>
      <c r="H63" s="11" t="str">
        <f>VLOOKUP(G63,E63:F66,2,FALSE)</f>
        <v>Niet van toepassing</v>
      </c>
      <c r="I63" s="3">
        <v>26.5</v>
      </c>
      <c r="J63" s="15">
        <v>23</v>
      </c>
      <c r="K63" s="51">
        <f>IF(H63="Op of ná 1 januari 2023",J63,
IF(OR(H63="Vóór 2 april 2022 én ≤ 24 maanden geleden",H63="2 april - 31 december 2022 ≤ 24 maanden geleden"),I63,0))</f>
        <v>0</v>
      </c>
      <c r="L63" s="48">
        <f>IF(B63="Niet van toepassing",0,
IF(AND(D63="Ja",$C$89=1,G63&lt;=2),0,
IF(AND(D63="Ja",$C$89=1,G63&gt;=3),1,
IF(AND(D63="Ja",$C$89&gt;1),2,0))))</f>
        <v>0</v>
      </c>
      <c r="M63" s="11">
        <f t="shared" si="6"/>
        <v>0</v>
      </c>
    </row>
    <row r="64" spans="1:13">
      <c r="C64" s="3"/>
      <c r="D64" s="11"/>
      <c r="E64" s="3">
        <v>2</v>
      </c>
      <c r="F64" t="s">
        <v>135</v>
      </c>
      <c r="G64" s="2"/>
      <c r="H64" s="11"/>
      <c r="K64" s="51"/>
      <c r="L64" s="48"/>
      <c r="M64" s="11"/>
    </row>
    <row r="65" spans="1:13">
      <c r="C65" s="3"/>
      <c r="D65" s="11"/>
      <c r="E65" s="3">
        <v>3</v>
      </c>
      <c r="F65" t="s">
        <v>269</v>
      </c>
      <c r="G65" s="2"/>
      <c r="H65" s="11"/>
      <c r="K65" s="51"/>
      <c r="L65" s="48"/>
      <c r="M65" s="11"/>
    </row>
    <row r="66" spans="1:13">
      <c r="C66" s="3"/>
      <c r="D66" s="11"/>
      <c r="E66" s="3">
        <v>4</v>
      </c>
      <c r="F66" t="s">
        <v>270</v>
      </c>
      <c r="G66" s="2"/>
      <c r="H66" s="11"/>
      <c r="K66" s="51"/>
      <c r="L66" s="48"/>
      <c r="M66" s="11"/>
    </row>
    <row r="67" spans="1:13">
      <c r="A67">
        <v>6</v>
      </c>
      <c r="B67" t="str">
        <f>IF(OR(AND(D47="Ja",G47&gt;1),AND(D51="Ja",G51&gt;1)),"Kiest u ook voor Isolerende deuren, Ud ≤ 1,0 W/m2K?","Niet van toepassing")</f>
        <v>Niet van toepassing</v>
      </c>
      <c r="C67" s="11">
        <v>1</v>
      </c>
      <c r="D67" s="11" t="str">
        <f>VLOOKUP(C67,$A$76:$B$77,2,FALSE)</f>
        <v>Niet van toepassing</v>
      </c>
      <c r="E67" s="3">
        <v>1</v>
      </c>
      <c r="F67" t="s">
        <v>63</v>
      </c>
      <c r="G67" s="2">
        <v>1</v>
      </c>
      <c r="H67" s="11" t="str">
        <f>VLOOKUP(G67,E67:F70,2,FALSE)</f>
        <v>Niet van toepassing</v>
      </c>
      <c r="I67" s="3">
        <v>75</v>
      </c>
      <c r="J67" s="15">
        <v>65.5</v>
      </c>
      <c r="K67" s="51">
        <f>IF(H67="Op of ná 1 januari 2023",J67,
IF(OR(H67="Vóór 2 april 2022 én ≤ 24 maanden geleden",H67="2 april - 31 december 2022 ≤ 24 maanden geleden"),I67,0))</f>
        <v>0</v>
      </c>
      <c r="L67" s="48">
        <f>IF(B63="Niet van toepassing",0,
IF(AND(D67="Ja",$C$89=1,G67&lt;=2),0,
IF(AND(D67="Ja",$C$89=1,G67&gt;=3),1,
IF(AND(D67="Ja",$C$89&gt;1),2,0))))</f>
        <v>0</v>
      </c>
      <c r="M67" s="11">
        <f t="shared" si="6"/>
        <v>0</v>
      </c>
    </row>
    <row r="68" spans="1:13">
      <c r="E68" s="3">
        <v>2</v>
      </c>
      <c r="F68" t="s">
        <v>135</v>
      </c>
      <c r="G68" s="2"/>
    </row>
    <row r="69" spans="1:13">
      <c r="E69" s="3">
        <v>3</v>
      </c>
      <c r="F69" t="s">
        <v>269</v>
      </c>
      <c r="G69" s="2"/>
    </row>
    <row r="70" spans="1:13">
      <c r="C70" s="3"/>
      <c r="D70" s="3"/>
      <c r="E70" s="3">
        <v>4</v>
      </c>
      <c r="F70" t="s">
        <v>270</v>
      </c>
    </row>
    <row r="71" spans="1:13">
      <c r="B71" s="1" t="s">
        <v>93</v>
      </c>
      <c r="C71" s="3"/>
      <c r="D71" s="3"/>
      <c r="E71" s="3"/>
      <c r="F71" s="2"/>
    </row>
    <row r="72" spans="1:13">
      <c r="A72">
        <v>1</v>
      </c>
      <c r="B72" t="str">
        <f>IF(C44="Geen glasisolatie","Niet van toepassing","Nee")</f>
        <v>Niet van toepassing</v>
      </c>
      <c r="C72" s="3"/>
      <c r="D72" s="3"/>
      <c r="E72" s="3"/>
      <c r="F72" s="2"/>
    </row>
    <row r="73" spans="1:13">
      <c r="A73">
        <v>2</v>
      </c>
      <c r="B73" t="str">
        <f>IF(C44="Geen glasisolatie","","Ja")</f>
        <v/>
      </c>
      <c r="C73" s="3"/>
      <c r="D73" s="3"/>
      <c r="E73" s="3"/>
      <c r="F73" s="2"/>
    </row>
    <row r="74" spans="1:13">
      <c r="C74" s="3"/>
      <c r="D74" s="3"/>
      <c r="E74" s="3"/>
      <c r="F74" s="2"/>
    </row>
    <row r="75" spans="1:13">
      <c r="B75" s="1" t="s">
        <v>94</v>
      </c>
      <c r="C75" s="10"/>
      <c r="D75" s="3"/>
      <c r="E75" s="3"/>
      <c r="F75" s="2"/>
    </row>
    <row r="76" spans="1:13">
      <c r="A76">
        <v>1</v>
      </c>
      <c r="B76" t="str">
        <f>IF(OR(D47="Ja",D51="Ja"),"Nee","Niet van toepassing")</f>
        <v>Niet van toepassing</v>
      </c>
      <c r="C76" s="3"/>
      <c r="D76" s="3"/>
      <c r="E76" s="3"/>
      <c r="F76" s="2"/>
    </row>
    <row r="77" spans="1:13">
      <c r="A77">
        <v>2</v>
      </c>
      <c r="B77" t="str">
        <f>IF(OR(D47="Ja",D51="Ja"),"Ja","")</f>
        <v/>
      </c>
      <c r="C77" s="3"/>
      <c r="D77" s="3"/>
      <c r="E77" s="3"/>
      <c r="F77" s="2"/>
    </row>
    <row r="78" spans="1:13">
      <c r="C78" s="3"/>
      <c r="D78" s="3"/>
      <c r="E78" s="3"/>
      <c r="F78" s="2"/>
    </row>
    <row r="79" spans="1:13">
      <c r="B79" s="1" t="s">
        <v>92</v>
      </c>
      <c r="C79" s="3"/>
      <c r="D79" s="10" t="s">
        <v>119</v>
      </c>
      <c r="E79" s="3"/>
      <c r="F79" s="3"/>
    </row>
    <row r="80" spans="1:13">
      <c r="B80" s="10">
        <f>IF(B4=3,1,0)</f>
        <v>0</v>
      </c>
      <c r="C80" s="3"/>
      <c r="D80" s="15">
        <f>IF(OR(
AND(H47="Vóór 2 april 2022 én ≤ 24 maanden geleden",'Keuzeblad maatregelen'!K72&gt;0),
AND(H47="2 april - 31 december 2022 ≤ 24 maanden geleden",'Keuzeblad maatregelen'!K72&gt;0),
AND(H47="Op of ná 1 januari 2023",'Keuzeblad maatregelen'!K72&gt;0)),
'Keuzeblad maatregelen'!K72,0)</f>
        <v>0</v>
      </c>
      <c r="E80" s="3"/>
      <c r="F80" s="2"/>
    </row>
    <row r="81" spans="1:6">
      <c r="B81" s="10">
        <f>IF(AND(B14&gt;1,E15&gt;1,'Keuzeblad maatregelen'!K28&gt;=Hulpblad!G15),1,0)</f>
        <v>0</v>
      </c>
      <c r="C81" s="3"/>
      <c r="D81" s="15">
        <f>IF(OR(
AND(H51="Vóór 2 april 2022 én ≤ 24 maanden geleden",'Keuzeblad maatregelen'!K79&gt;0),
AND(H51="2 april - 31 december 2022 ≤ 24 maanden geleden",'Keuzeblad maatregelen'!K79&gt;0),
AND(H51="Op of ná 1 januari 2023",'Keuzeblad maatregelen'!K79&gt;0)),
'Keuzeblad maatregelen'!K79,0)</f>
        <v>0</v>
      </c>
      <c r="E81" s="3"/>
      <c r="F81" s="2"/>
    </row>
    <row r="82" spans="1:6">
      <c r="B82" s="10">
        <f>IF(AND(B19&gt;1,E21&gt;1,'Keuzeblad maatregelen'!K35&gt;=Hulpblad!G18),1,0)</f>
        <v>0</v>
      </c>
      <c r="C82" s="3"/>
      <c r="D82" s="15">
        <f>IF(OR(
AND(H55="Vóór 2 april 2022 én ≤ 24 maanden geleden",'Keuzeblad maatregelen'!K86&gt;0),
AND(H55="2 april - 31 december 2022 ≤ 24 maanden geleden",'Keuzeblad maatregelen'!K86&gt;0),
AND(H55="Op of ná 1 januari 2023",'Keuzeblad maatregelen'!K86&gt;0)),
'Keuzeblad maatregelen'!K86,0)</f>
        <v>0</v>
      </c>
      <c r="E82" s="3"/>
      <c r="F82" s="2"/>
    </row>
    <row r="83" spans="1:6">
      <c r="B83" s="10">
        <f>IF(AND(B25&gt;1,E27&gt;1,'Keuzeblad maatregelen'!K42&gt;=Hulpblad!G24),1,0)</f>
        <v>0</v>
      </c>
      <c r="C83" s="3"/>
      <c r="D83" s="15">
        <f>IF(OR(
AND(H59="Vóór 2 april 2022 én ≤ 24 maanden geleden",'Keuzeblad maatregelen'!K93&gt;0),
AND(H59="2 april - 31 december 2022 ≤ 24 maanden geleden",'Keuzeblad maatregelen'!K93&gt;0),
AND(H59="Op of ná 1 januari 2023",'Keuzeblad maatregelen'!K93&gt;0)),
'Keuzeblad maatregelen'!K93,0)</f>
        <v>0</v>
      </c>
      <c r="E83" s="3"/>
      <c r="F83" s="2"/>
    </row>
    <row r="84" spans="1:6">
      <c r="B84" s="10">
        <f>IF(AND(B32&gt;1,E33&gt;1,'Keuzeblad maatregelen'!K49&gt;=Hulpblad!G30),1,0)</f>
        <v>0</v>
      </c>
      <c r="C84" s="3"/>
      <c r="D84" s="15">
        <f>IF(OR(
AND(H63="Vóór 2 april 2022 én ≤ 24 maanden geleden",'Keuzeblad maatregelen'!K100&gt;0),
AND(H63="2 april - 31 december 2022 ≤ 24 maanden geleden",'Keuzeblad maatregelen'!K100&gt;0),
AND(H63="Op of ná 1 januari 2023",'Keuzeblad maatregelen'!K100&gt;0)),
'Keuzeblad maatregelen'!K100,0)</f>
        <v>0</v>
      </c>
      <c r="E84" s="3"/>
      <c r="F84" s="2"/>
    </row>
    <row r="85" spans="1:6">
      <c r="B85" s="10">
        <f>IF(D86&gt;=8,1,0)</f>
        <v>0</v>
      </c>
      <c r="C85" s="3"/>
      <c r="D85" s="15">
        <f>IF(OR(
AND(H67="Vóór 2 april 2022 én ≤ 24 maanden geleden",'Keuzeblad maatregelen'!K107&gt;0),
AND(H67="2 april - 31 december 2022 ≤ 24 maanden geleden",'Keuzeblad maatregelen'!K107&gt;0),
AND(H67="Op of ná 1 januari 2023",'Keuzeblad maatregelen'!K107&gt;0)),
'Keuzeblad maatregelen'!K107,0)</f>
        <v>0</v>
      </c>
      <c r="E85" s="3"/>
      <c r="F85" s="2"/>
    </row>
    <row r="86" spans="1:6">
      <c r="B86" s="10">
        <f>IF('Keuzeblad maatregelen'!O120&gt;0,1,0)</f>
        <v>0</v>
      </c>
      <c r="C86" s="3"/>
      <c r="D86" s="48">
        <f>SUM(D80:D85)</f>
        <v>0</v>
      </c>
      <c r="E86" s="3"/>
      <c r="F86" s="2"/>
    </row>
    <row r="87" spans="1:6">
      <c r="B87" s="10">
        <f>IF('Keuzeblad maatregelen'!O147&gt;0,1,0)</f>
        <v>0</v>
      </c>
      <c r="C87" s="3"/>
      <c r="D87" s="3"/>
      <c r="E87" s="3"/>
      <c r="F87" s="2"/>
    </row>
    <row r="88" spans="1:6">
      <c r="B88" s="10">
        <f>IF('Keuzeblad maatregelen'!O159&gt;0,1,0)</f>
        <v>0</v>
      </c>
    </row>
    <row r="89" spans="1:6">
      <c r="B89" s="1" t="s">
        <v>88</v>
      </c>
      <c r="C89" s="4">
        <f>SUM(B80:B88)</f>
        <v>0</v>
      </c>
    </row>
    <row r="90" spans="1:6">
      <c r="B90" s="1"/>
    </row>
    <row r="91" spans="1:6" ht="18.75">
      <c r="B91" s="14" t="s">
        <v>43</v>
      </c>
      <c r="C91" s="1" t="s">
        <v>66</v>
      </c>
      <c r="D91" s="1" t="s">
        <v>67</v>
      </c>
      <c r="E91" s="1" t="s">
        <v>68</v>
      </c>
    </row>
    <row r="92" spans="1:6">
      <c r="A92">
        <v>1</v>
      </c>
      <c r="B92" s="3" t="s">
        <v>44</v>
      </c>
      <c r="C92">
        <v>0</v>
      </c>
    </row>
    <row r="93" spans="1:6">
      <c r="A93">
        <v>2</v>
      </c>
      <c r="B93" t="str">
        <f>B185</f>
        <v>Lucht-water &lt; 1 kW</v>
      </c>
      <c r="C93">
        <v>0</v>
      </c>
    </row>
    <row r="94" spans="1:6">
      <c r="A94">
        <v>3</v>
      </c>
      <c r="B94" t="str">
        <f>B190</f>
        <v>Lucht-water ≥ 1 kW en ≤ 70 kW</v>
      </c>
      <c r="C94">
        <v>150</v>
      </c>
      <c r="D94">
        <v>1</v>
      </c>
      <c r="E94">
        <v>70</v>
      </c>
    </row>
    <row r="95" spans="1:6">
      <c r="A95">
        <v>4</v>
      </c>
      <c r="B95" t="str">
        <f>B195</f>
        <v>Lucht-water ≥ 71 kW en ≤ 400 kW</v>
      </c>
      <c r="C95">
        <v>150</v>
      </c>
      <c r="D95">
        <v>71</v>
      </c>
      <c r="E95">
        <v>400</v>
      </c>
    </row>
    <row r="96" spans="1:6">
      <c r="A96">
        <v>5</v>
      </c>
      <c r="B96" t="str">
        <f>B201</f>
        <v>Grond-water &lt; 1 kW</v>
      </c>
      <c r="C96">
        <v>0</v>
      </c>
    </row>
    <row r="97" spans="1:5">
      <c r="A97">
        <v>6</v>
      </c>
      <c r="B97" t="str">
        <f>B206</f>
        <v>Grond-water ≥ 1 kW en &lt; 10 kW</v>
      </c>
      <c r="C97">
        <v>0</v>
      </c>
    </row>
    <row r="98" spans="1:5">
      <c r="A98">
        <v>7</v>
      </c>
      <c r="B98" t="str">
        <f>B211</f>
        <v>Grond-water ≥ 10 kW en ≤ 70 kW</v>
      </c>
      <c r="C98">
        <v>150</v>
      </c>
      <c r="D98">
        <v>10</v>
      </c>
      <c r="E98">
        <v>70</v>
      </c>
    </row>
    <row r="99" spans="1:5">
      <c r="A99">
        <v>8</v>
      </c>
      <c r="B99" t="str">
        <f>B216</f>
        <v>Grond-water ≥ 71 kW en ≤ 400 kW</v>
      </c>
      <c r="C99">
        <v>150</v>
      </c>
      <c r="D99">
        <v>71</v>
      </c>
      <c r="E99">
        <v>400</v>
      </c>
    </row>
    <row r="100" spans="1:5">
      <c r="A100">
        <v>9</v>
      </c>
      <c r="B100" t="str">
        <f>+B222</f>
        <v>Water-water &lt; 1 kW</v>
      </c>
      <c r="C100">
        <v>0</v>
      </c>
    </row>
    <row r="101" spans="1:5">
      <c r="A101">
        <v>10</v>
      </c>
      <c r="B101" t="str">
        <f>B227</f>
        <v>Water-water ≥ 1 kW en &lt; 10 kW</v>
      </c>
      <c r="C101">
        <v>0</v>
      </c>
    </row>
    <row r="102" spans="1:5">
      <c r="A102">
        <v>11</v>
      </c>
      <c r="B102" t="str">
        <f>B232</f>
        <v>Water-water ≥ 10 kW en ≤ 70 kW</v>
      </c>
      <c r="C102">
        <v>150</v>
      </c>
      <c r="D102">
        <v>10</v>
      </c>
      <c r="E102">
        <v>70</v>
      </c>
    </row>
    <row r="103" spans="1:5">
      <c r="A103">
        <v>12</v>
      </c>
      <c r="B103" t="str">
        <f>B237</f>
        <v>Water-water ≥ 71 kW en ≤ 400 kW</v>
      </c>
      <c r="C103">
        <v>150</v>
      </c>
      <c r="D103">
        <v>71</v>
      </c>
      <c r="E103">
        <v>400</v>
      </c>
    </row>
    <row r="104" spans="1:5">
      <c r="B104" s="11">
        <v>1</v>
      </c>
      <c r="C104" s="11" t="str">
        <f>VLOOKUP(B104,A92:B103,2,FALSE)</f>
        <v>Geen warmtepomp</v>
      </c>
    </row>
    <row r="105" spans="1:5">
      <c r="B105" s="11"/>
    </row>
    <row r="106" spans="1:5">
      <c r="B106" s="10" t="s">
        <v>65</v>
      </c>
      <c r="C106" s="1"/>
      <c r="D106" s="1"/>
      <c r="E106" s="1"/>
    </row>
    <row r="107" spans="1:5">
      <c r="A107">
        <v>1</v>
      </c>
      <c r="B107" s="3" t="s">
        <v>63</v>
      </c>
      <c r="C107" s="1"/>
    </row>
    <row r="108" spans="1:5">
      <c r="A108">
        <v>2</v>
      </c>
      <c r="B108" t="s">
        <v>154</v>
      </c>
    </row>
    <row r="109" spans="1:5">
      <c r="A109">
        <v>3</v>
      </c>
      <c r="B109" t="s">
        <v>155</v>
      </c>
    </row>
    <row r="110" spans="1:5">
      <c r="A110">
        <v>4</v>
      </c>
      <c r="B110" t="s">
        <v>156</v>
      </c>
    </row>
    <row r="111" spans="1:5">
      <c r="A111">
        <v>5</v>
      </c>
      <c r="B111" t="str">
        <f>IF(OR($C$104="Geen warmtepomp",$C$104="Lucht-water ≥ 70 kW en ≤ 400 kW",$C$104="Grond-water ≥ 70 kW en ≤ 400 kW",$C$104="Water-water ≥ 70 kW en ≤ 400 kW" ),"Niet van toepassing","Energieklasse A t/m G")</f>
        <v>Niet van toepassing</v>
      </c>
    </row>
    <row r="112" spans="1:5">
      <c r="B112" s="11">
        <v>1</v>
      </c>
      <c r="C112" s="11" t="str">
        <f>VLOOKUP(B112,A107:B111,2,FALSE)</f>
        <v>Niet van toepassing</v>
      </c>
      <c r="E112" s="11"/>
    </row>
    <row r="113" spans="1:4">
      <c r="B113" s="11"/>
      <c r="C113" s="11"/>
      <c r="D113" s="11"/>
    </row>
    <row r="114" spans="1:4">
      <c r="B114" s="10" t="s">
        <v>157</v>
      </c>
      <c r="C114" s="11"/>
      <c r="D114" s="11"/>
    </row>
    <row r="115" spans="1:4">
      <c r="A115">
        <v>1</v>
      </c>
      <c r="B115" s="3" t="s">
        <v>63</v>
      </c>
      <c r="C115" s="11"/>
      <c r="D115" s="11"/>
    </row>
    <row r="116" spans="1:4">
      <c r="A116">
        <v>2</v>
      </c>
      <c r="B116" s="3" t="s">
        <v>158</v>
      </c>
      <c r="C116" s="11"/>
      <c r="D116" s="11"/>
    </row>
    <row r="117" spans="1:4">
      <c r="A117">
        <v>3</v>
      </c>
      <c r="B117" s="3" t="s">
        <v>136</v>
      </c>
      <c r="C117" s="11"/>
      <c r="D117" s="11"/>
    </row>
    <row r="118" spans="1:4">
      <c r="B118" s="11">
        <v>1</v>
      </c>
      <c r="C118" s="11" t="str">
        <f>VLOOKUP(B118,A115:B117,2,FALSE)</f>
        <v>Niet van toepassing</v>
      </c>
      <c r="D118" s="11"/>
    </row>
    <row r="119" spans="1:4">
      <c r="B119" s="11"/>
      <c r="C119" s="11"/>
      <c r="D119" s="11"/>
    </row>
    <row r="120" spans="1:4">
      <c r="B120" s="10" t="s">
        <v>205</v>
      </c>
      <c r="C120" s="11" t="str">
        <f>Hulpblad!C104&amp;" "&amp;Hulpblad!C112&amp;" "&amp;Hulpblad!C118&amp;""</f>
        <v>Geen warmtepomp Niet van toepassing Niet van toepassing</v>
      </c>
      <c r="D120" s="11"/>
    </row>
    <row r="122" spans="1:4">
      <c r="B122" s="1" t="s">
        <v>50</v>
      </c>
    </row>
    <row r="123" spans="1:4">
      <c r="B123" t="s">
        <v>69</v>
      </c>
      <c r="C123" s="11">
        <f>VLOOKUP(C104,B92:E103,3,FALSE)</f>
        <v>0</v>
      </c>
    </row>
    <row r="124" spans="1:4">
      <c r="B124" t="s">
        <v>70</v>
      </c>
      <c r="C124" s="11">
        <f>VLOOKUP(C104,B92:E103,4,FALSE)</f>
        <v>0</v>
      </c>
    </row>
    <row r="126" spans="1:4" ht="18.75">
      <c r="B126" s="13" t="s">
        <v>47</v>
      </c>
    </row>
    <row r="127" spans="1:4">
      <c r="A127">
        <v>1</v>
      </c>
      <c r="B127" s="9" t="s">
        <v>48</v>
      </c>
    </row>
    <row r="128" spans="1:4" ht="17.25">
      <c r="A128">
        <v>2</v>
      </c>
      <c r="B128" t="s">
        <v>19</v>
      </c>
    </row>
    <row r="129" spans="1:4" ht="17.25">
      <c r="A129">
        <v>3</v>
      </c>
      <c r="B129" t="s">
        <v>20</v>
      </c>
    </row>
    <row r="130" spans="1:4" ht="17.25">
      <c r="A130">
        <v>4</v>
      </c>
      <c r="B130" t="s">
        <v>21</v>
      </c>
    </row>
    <row r="131" spans="1:4" ht="17.25">
      <c r="A131">
        <v>5</v>
      </c>
      <c r="B131" t="s">
        <v>22</v>
      </c>
    </row>
    <row r="132" spans="1:4">
      <c r="B132" s="11">
        <v>1</v>
      </c>
      <c r="C132" s="11" t="str">
        <f>VLOOKUP(B132,A127:B131,2,FALSE)</f>
        <v>Geen zonneboiler</v>
      </c>
    </row>
    <row r="133" spans="1:4">
      <c r="B133" s="11"/>
      <c r="C133" s="11"/>
    </row>
    <row r="134" spans="1:4">
      <c r="B134" s="10" t="s">
        <v>258</v>
      </c>
      <c r="C134" s="11"/>
    </row>
    <row r="135" spans="1:4">
      <c r="A135">
        <v>1</v>
      </c>
      <c r="B135" s="3" t="s">
        <v>63</v>
      </c>
      <c r="C135" s="11"/>
    </row>
    <row r="136" spans="1:4">
      <c r="A136">
        <v>2</v>
      </c>
      <c r="B136" s="3" t="s">
        <v>158</v>
      </c>
      <c r="C136" s="11"/>
    </row>
    <row r="137" spans="1:4">
      <c r="A137">
        <v>3</v>
      </c>
      <c r="B137" s="3" t="s">
        <v>136</v>
      </c>
      <c r="C137" s="11"/>
    </row>
    <row r="138" spans="1:4">
      <c r="B138" s="11">
        <v>1</v>
      </c>
      <c r="C138" s="11" t="str">
        <f>VLOOKUP(B138,A135:B137,2,FALSE)</f>
        <v>Niet van toepassing</v>
      </c>
    </row>
    <row r="139" spans="1:4">
      <c r="B139" s="11"/>
      <c r="C139" s="11"/>
    </row>
    <row r="140" spans="1:4">
      <c r="B140" s="10" t="s">
        <v>259</v>
      </c>
      <c r="C140" s="48" t="str">
        <f>Hulpblad!C132&amp;" "&amp;Hulpblad!C138&amp;""</f>
        <v>Geen zonneboiler Niet van toepassing</v>
      </c>
    </row>
    <row r="141" spans="1:4">
      <c r="B141" s="1"/>
    </row>
    <row r="142" spans="1:4" ht="18.75">
      <c r="B142" s="13" t="s">
        <v>49</v>
      </c>
    </row>
    <row r="143" spans="1:4">
      <c r="A143">
        <v>1</v>
      </c>
      <c r="B143" s="9" t="s">
        <v>253</v>
      </c>
      <c r="C143" t="s">
        <v>63</v>
      </c>
      <c r="D143" t="str">
        <f>""</f>
        <v/>
      </c>
    </row>
    <row r="144" spans="1:4">
      <c r="A144">
        <v>2</v>
      </c>
      <c r="B144" s="9" t="s">
        <v>252</v>
      </c>
      <c r="C144" t="s">
        <v>63</v>
      </c>
      <c r="D144" t="str">
        <f>""</f>
        <v/>
      </c>
    </row>
    <row r="145" spans="1:12">
      <c r="B145" s="11">
        <v>1</v>
      </c>
      <c r="C145" s="11" t="str">
        <f>VLOOKUP(B145,A143:B144,2,FALSE)</f>
        <v>Geen aansluiting op een warmtenet</v>
      </c>
      <c r="D145" s="9"/>
    </row>
    <row r="146" spans="1:12">
      <c r="B146" s="10" t="s">
        <v>256</v>
      </c>
      <c r="C146" s="11"/>
      <c r="D146" s="9"/>
    </row>
    <row r="147" spans="1:12">
      <c r="A147">
        <v>1</v>
      </c>
      <c r="B147" s="3" t="s">
        <v>63</v>
      </c>
      <c r="C147" s="11"/>
      <c r="D147" s="9"/>
    </row>
    <row r="148" spans="1:12">
      <c r="A148">
        <v>2</v>
      </c>
      <c r="B148" s="3" t="s">
        <v>158</v>
      </c>
      <c r="C148" s="11"/>
      <c r="D148" s="9"/>
    </row>
    <row r="149" spans="1:12">
      <c r="A149">
        <v>3</v>
      </c>
      <c r="B149" s="3" t="s">
        <v>136</v>
      </c>
    </row>
    <row r="150" spans="1:12">
      <c r="B150" s="11">
        <v>1</v>
      </c>
      <c r="C150" s="11" t="str">
        <f>VLOOKUP(B150,A147:B149,2,FALSE)</f>
        <v>Niet van toepassing</v>
      </c>
    </row>
    <row r="151" spans="1:12">
      <c r="B151" s="3"/>
    </row>
    <row r="152" spans="1:12">
      <c r="B152" s="10" t="s">
        <v>205</v>
      </c>
      <c r="C152" s="11" t="str">
        <f>Hulpblad!C145&amp;" "&amp;Hulpblad!C150&amp;""</f>
        <v>Geen aansluiting op een warmtenet Niet van toepassing</v>
      </c>
    </row>
    <row r="153" spans="1:12">
      <c r="B153" s="3"/>
    </row>
    <row r="154" spans="1:12" ht="18.75">
      <c r="B154" s="13" t="s">
        <v>113</v>
      </c>
    </row>
    <row r="155" spans="1:12" ht="45.75" customHeight="1">
      <c r="B155" s="9" t="s">
        <v>118</v>
      </c>
      <c r="E155" s="9" t="s">
        <v>114</v>
      </c>
      <c r="H155" s="17" t="s">
        <v>111</v>
      </c>
      <c r="K155" s="17" t="s">
        <v>115</v>
      </c>
    </row>
    <row r="156" spans="1:12">
      <c r="A156">
        <v>1</v>
      </c>
      <c r="B156" s="9" t="s">
        <v>100</v>
      </c>
      <c r="D156">
        <v>1</v>
      </c>
      <c r="E156" t="str">
        <f>IF(C158="Nee","Niet van toepassing","Nee")</f>
        <v>Niet van toepassing</v>
      </c>
      <c r="G156">
        <v>1</v>
      </c>
      <c r="H156" s="3" t="str">
        <f>IF(OR(C158="Nee",F158="Nee"),"Niet van toepassing","Nee")</f>
        <v>Niet van toepassing</v>
      </c>
      <c r="J156">
        <v>1</v>
      </c>
      <c r="K156" t="str">
        <f>IF(OR(C158="Nee",F158="Nee",I158="Ja"),"Niet van toepassing","Nee")</f>
        <v>Niet van toepassing</v>
      </c>
    </row>
    <row r="157" spans="1:12">
      <c r="A157">
        <v>2</v>
      </c>
      <c r="B157" s="9" t="s">
        <v>99</v>
      </c>
      <c r="D157">
        <v>2</v>
      </c>
      <c r="E157" t="str">
        <f>IF(C158="Nee","","Ja")</f>
        <v/>
      </c>
      <c r="G157">
        <v>2</v>
      </c>
      <c r="H157" s="3" t="str">
        <f>IF(OR(C158="Nee",F158="Nee"),"","Ja")</f>
        <v/>
      </c>
      <c r="J157">
        <v>2</v>
      </c>
      <c r="K157" t="str">
        <f>IF(OR(C158="Nee",F158="Nee",I158="Ja"),"","Ja")</f>
        <v/>
      </c>
    </row>
    <row r="158" spans="1:12">
      <c r="B158" s="11">
        <v>1</v>
      </c>
      <c r="C158" s="11" t="str">
        <f>VLOOKUP(B158,A156:B157,2,FALSE)</f>
        <v>Nee</v>
      </c>
      <c r="E158" s="11">
        <v>1</v>
      </c>
      <c r="F158" s="11" t="str">
        <f>VLOOKUP(E158,D156:E157,2,FALSE)</f>
        <v>Niet van toepassing</v>
      </c>
      <c r="H158" s="11">
        <v>1</v>
      </c>
      <c r="I158" s="11" t="str">
        <f>VLOOKUP(H158,G156:H157,2,FALSE)</f>
        <v>Niet van toepassing</v>
      </c>
      <c r="K158" s="11">
        <v>1</v>
      </c>
      <c r="L158" s="11" t="str">
        <f>VLOOKUP(K158,J156:K157,2,FALSE)</f>
        <v>Niet van toepassing</v>
      </c>
    </row>
    <row r="159" spans="1:12">
      <c r="B159" s="11"/>
      <c r="C159" s="11"/>
    </row>
    <row r="160" spans="1:12">
      <c r="B160" s="11"/>
      <c r="C160" s="11"/>
    </row>
    <row r="161" spans="1:8">
      <c r="C161" s="11"/>
    </row>
    <row r="162" spans="1:8">
      <c r="C162" s="11"/>
    </row>
    <row r="163" spans="1:8">
      <c r="B163" s="11"/>
      <c r="C163" s="11"/>
    </row>
    <row r="164" spans="1:8" ht="18.75">
      <c r="A164" s="13" t="s">
        <v>71</v>
      </c>
      <c r="B164" s="11"/>
      <c r="C164" s="11"/>
    </row>
    <row r="165" spans="1:8">
      <c r="B165" s="11"/>
    </row>
    <row r="166" spans="1:8" ht="34.5" customHeight="1">
      <c r="B166" s="1" t="s">
        <v>17</v>
      </c>
      <c r="C166" s="1" t="s">
        <v>10</v>
      </c>
      <c r="D166" s="6" t="s">
        <v>86</v>
      </c>
      <c r="E166" s="6" t="s">
        <v>87</v>
      </c>
      <c r="F166" s="5" t="s">
        <v>26</v>
      </c>
      <c r="G166" s="5" t="s">
        <v>27</v>
      </c>
      <c r="H166" s="8" t="s">
        <v>122</v>
      </c>
    </row>
    <row r="167" spans="1:8" ht="15" customHeight="1">
      <c r="B167" t="s">
        <v>4</v>
      </c>
      <c r="C167" t="s">
        <v>30</v>
      </c>
      <c r="D167" s="3">
        <v>15</v>
      </c>
      <c r="E167" s="7">
        <v>15</v>
      </c>
      <c r="F167">
        <v>20</v>
      </c>
      <c r="G167">
        <v>200</v>
      </c>
      <c r="H167" s="7">
        <v>5</v>
      </c>
    </row>
    <row r="168" spans="1:8" ht="15" customHeight="1">
      <c r="B168" t="s">
        <v>4</v>
      </c>
      <c r="C168" t="s">
        <v>31</v>
      </c>
      <c r="D168" s="3">
        <v>4</v>
      </c>
      <c r="E168" s="7">
        <v>4</v>
      </c>
      <c r="F168">
        <v>20</v>
      </c>
      <c r="G168">
        <v>130</v>
      </c>
      <c r="H168" s="7">
        <v>1.5</v>
      </c>
    </row>
    <row r="169" spans="1:8" ht="15" customHeight="1">
      <c r="B169" t="s">
        <v>5</v>
      </c>
      <c r="C169" t="s">
        <v>32</v>
      </c>
      <c r="D169" s="3">
        <v>19</v>
      </c>
      <c r="E169" s="7">
        <v>19</v>
      </c>
      <c r="F169">
        <v>10</v>
      </c>
      <c r="G169">
        <v>170</v>
      </c>
      <c r="H169" s="7">
        <v>6</v>
      </c>
    </row>
    <row r="170" spans="1:8" ht="15" customHeight="1">
      <c r="B170" t="s">
        <v>6</v>
      </c>
      <c r="C170" t="s">
        <v>33</v>
      </c>
      <c r="D170" s="3">
        <v>4</v>
      </c>
      <c r="E170" s="7">
        <v>4</v>
      </c>
      <c r="F170">
        <v>10</v>
      </c>
      <c r="G170">
        <v>170</v>
      </c>
      <c r="H170" s="7">
        <v>1.5</v>
      </c>
    </row>
    <row r="171" spans="1:8" ht="15" customHeight="1">
      <c r="B171" t="s">
        <v>8</v>
      </c>
      <c r="C171" t="s">
        <v>34</v>
      </c>
      <c r="D171" s="3">
        <v>5.5</v>
      </c>
      <c r="E171" s="7">
        <v>5.5</v>
      </c>
      <c r="F171">
        <v>20</v>
      </c>
      <c r="G171">
        <v>130</v>
      </c>
      <c r="H171" s="7">
        <v>2</v>
      </c>
    </row>
    <row r="172" spans="1:8" ht="15" customHeight="1">
      <c r="B172" t="s">
        <v>8</v>
      </c>
      <c r="C172" t="s">
        <v>35</v>
      </c>
      <c r="D172" s="3">
        <v>3</v>
      </c>
      <c r="E172" s="7">
        <v>3</v>
      </c>
      <c r="F172">
        <v>20</v>
      </c>
      <c r="G172">
        <v>130</v>
      </c>
      <c r="H172" s="7">
        <v>1</v>
      </c>
    </row>
    <row r="173" spans="1:8" ht="15" customHeight="1">
      <c r="D173" s="3"/>
      <c r="E173" s="7"/>
      <c r="H173" s="1" t="s">
        <v>121</v>
      </c>
    </row>
    <row r="174" spans="1:8" ht="15" customHeight="1">
      <c r="B174" t="s">
        <v>42</v>
      </c>
      <c r="C174" s="7" t="s">
        <v>36</v>
      </c>
      <c r="D174" s="15">
        <v>26.5</v>
      </c>
      <c r="E174" s="15">
        <v>23</v>
      </c>
      <c r="F174">
        <v>8</v>
      </c>
      <c r="G174">
        <v>45</v>
      </c>
    </row>
    <row r="175" spans="1:8" ht="15" customHeight="1">
      <c r="B175" t="s">
        <v>42</v>
      </c>
      <c r="C175" s="7" t="s">
        <v>37</v>
      </c>
      <c r="D175" s="15">
        <v>11.5</v>
      </c>
      <c r="E175" s="15">
        <v>10</v>
      </c>
      <c r="F175">
        <v>8</v>
      </c>
      <c r="G175">
        <v>45</v>
      </c>
      <c r="H175" t="s">
        <v>29</v>
      </c>
    </row>
    <row r="176" spans="1:8" ht="15" customHeight="1">
      <c r="B176" t="s">
        <v>42</v>
      </c>
      <c r="C176" s="7" t="s">
        <v>38</v>
      </c>
      <c r="D176" s="15">
        <v>75</v>
      </c>
      <c r="E176" s="15">
        <v>65.5</v>
      </c>
      <c r="F176">
        <v>8</v>
      </c>
      <c r="G176">
        <v>45</v>
      </c>
    </row>
    <row r="177" spans="2:9" ht="15" customHeight="1">
      <c r="B177" t="s">
        <v>42</v>
      </c>
      <c r="C177" s="7" t="s">
        <v>39</v>
      </c>
      <c r="D177" s="15">
        <v>57.5</v>
      </c>
      <c r="E177" s="15">
        <v>45</v>
      </c>
      <c r="F177">
        <v>8</v>
      </c>
      <c r="G177">
        <v>45</v>
      </c>
      <c r="H177" t="s">
        <v>29</v>
      </c>
    </row>
    <row r="178" spans="2:9" ht="15" customHeight="1">
      <c r="B178" t="s">
        <v>42</v>
      </c>
      <c r="C178" s="7" t="s">
        <v>40</v>
      </c>
      <c r="D178" s="15">
        <v>75</v>
      </c>
      <c r="E178" s="15">
        <v>65.5</v>
      </c>
      <c r="F178">
        <v>8</v>
      </c>
      <c r="G178">
        <v>45</v>
      </c>
      <c r="H178" t="s">
        <v>29</v>
      </c>
    </row>
    <row r="179" spans="2:9" ht="15" customHeight="1">
      <c r="B179" t="s">
        <v>42</v>
      </c>
      <c r="C179" s="7" t="s">
        <v>41</v>
      </c>
      <c r="D179" s="15">
        <v>26.5</v>
      </c>
      <c r="E179" s="15">
        <v>23</v>
      </c>
      <c r="F179">
        <v>8</v>
      </c>
      <c r="G179">
        <v>45</v>
      </c>
      <c r="H179" t="s">
        <v>29</v>
      </c>
    </row>
    <row r="180" spans="2:9" ht="15" customHeight="1"/>
    <row r="181" spans="2:9" ht="15" customHeight="1">
      <c r="B181" s="53" t="s">
        <v>141</v>
      </c>
      <c r="C181" s="53" t="s">
        <v>173</v>
      </c>
      <c r="D181" s="55" t="s">
        <v>138</v>
      </c>
      <c r="E181" s="55" t="s">
        <v>160</v>
      </c>
      <c r="F181" s="55" t="s">
        <v>139</v>
      </c>
      <c r="G181" s="55" t="s">
        <v>140</v>
      </c>
      <c r="H181" s="58"/>
      <c r="I181" s="58" t="str">
        <f>""</f>
        <v/>
      </c>
    </row>
    <row r="182" spans="2:9" ht="15" customHeight="1">
      <c r="B182" s="56" t="s">
        <v>44</v>
      </c>
      <c r="C182" s="56" t="s">
        <v>44</v>
      </c>
      <c r="D182" s="57">
        <v>0</v>
      </c>
      <c r="E182" s="55">
        <v>0</v>
      </c>
      <c r="F182" s="55">
        <v>0</v>
      </c>
      <c r="G182" s="55">
        <v>0</v>
      </c>
      <c r="H182" s="58"/>
      <c r="I182" s="58" t="str">
        <f>""</f>
        <v/>
      </c>
    </row>
    <row r="183" spans="2:9" ht="15" customHeight="1">
      <c r="B183" s="56"/>
      <c r="C183" s="56"/>
      <c r="D183" s="57"/>
      <c r="E183" s="55"/>
      <c r="F183" s="55"/>
      <c r="G183" s="55"/>
      <c r="H183" s="58"/>
      <c r="I183" s="58" t="str">
        <f>""</f>
        <v/>
      </c>
    </row>
    <row r="184" spans="2:9" ht="15" customHeight="1">
      <c r="B184" s="58" t="s">
        <v>12</v>
      </c>
      <c r="C184" s="58" t="s">
        <v>161</v>
      </c>
      <c r="D184" s="57">
        <v>500</v>
      </c>
      <c r="E184" s="57">
        <v>450</v>
      </c>
      <c r="F184" s="59">
        <f>D184+E184</f>
        <v>950</v>
      </c>
      <c r="G184" s="57">
        <v>0</v>
      </c>
      <c r="H184" s="58"/>
      <c r="I184" s="58" t="str">
        <f>""</f>
        <v/>
      </c>
    </row>
    <row r="185" spans="2:9" ht="15" customHeight="1">
      <c r="B185" s="58" t="s">
        <v>12</v>
      </c>
      <c r="C185" s="58" t="s">
        <v>162</v>
      </c>
      <c r="D185" s="59">
        <v>500</v>
      </c>
      <c r="E185" s="59">
        <v>450</v>
      </c>
      <c r="F185" s="59">
        <f>D185+E185</f>
        <v>950</v>
      </c>
      <c r="G185" s="59">
        <v>0</v>
      </c>
      <c r="H185" s="58"/>
      <c r="I185" s="58" t="str">
        <f>""</f>
        <v/>
      </c>
    </row>
    <row r="186" spans="2:9" ht="15" customHeight="1">
      <c r="B186" s="58" t="s">
        <v>12</v>
      </c>
      <c r="C186" s="58" t="s">
        <v>163</v>
      </c>
      <c r="D186" s="59">
        <v>500</v>
      </c>
      <c r="E186" s="59">
        <v>225</v>
      </c>
      <c r="F186" s="59">
        <f t="shared" ref="F186:F240" si="7">D186+E186</f>
        <v>725</v>
      </c>
      <c r="G186" s="59">
        <v>0</v>
      </c>
      <c r="H186" s="58"/>
      <c r="I186" s="58" t="str">
        <f>""</f>
        <v/>
      </c>
    </row>
    <row r="187" spans="2:9" ht="15" customHeight="1">
      <c r="B187" s="58" t="s">
        <v>12</v>
      </c>
      <c r="C187" s="58" t="s">
        <v>164</v>
      </c>
      <c r="D187" s="59">
        <v>500</v>
      </c>
      <c r="E187" s="59">
        <v>0</v>
      </c>
      <c r="F187" s="59">
        <f t="shared" si="7"/>
        <v>500</v>
      </c>
      <c r="G187" s="59">
        <v>0</v>
      </c>
      <c r="H187" s="58"/>
      <c r="I187" s="58" t="str">
        <f>""</f>
        <v/>
      </c>
    </row>
    <row r="188" spans="2:9" ht="15" customHeight="1">
      <c r="B188" s="58"/>
      <c r="C188" s="58"/>
      <c r="D188" s="59"/>
      <c r="E188" s="59"/>
      <c r="F188" s="59"/>
      <c r="G188" s="59"/>
      <c r="H188" s="58"/>
      <c r="I188" s="58" t="str">
        <f>""</f>
        <v/>
      </c>
    </row>
    <row r="189" spans="2:9" ht="15" customHeight="1">
      <c r="B189" s="58" t="s">
        <v>147</v>
      </c>
      <c r="C189" s="58" t="s">
        <v>165</v>
      </c>
      <c r="D189" s="59">
        <v>1650</v>
      </c>
      <c r="E189" s="59">
        <v>450</v>
      </c>
      <c r="F189" s="59">
        <f t="shared" si="7"/>
        <v>2100</v>
      </c>
      <c r="G189" s="59">
        <v>150</v>
      </c>
      <c r="H189" s="58" t="s">
        <v>25</v>
      </c>
      <c r="I189" s="58" t="str">
        <f>""</f>
        <v/>
      </c>
    </row>
    <row r="190" spans="2:9" ht="15" customHeight="1">
      <c r="B190" s="58" t="s">
        <v>147</v>
      </c>
      <c r="C190" s="58" t="s">
        <v>166</v>
      </c>
      <c r="D190" s="59">
        <v>1650</v>
      </c>
      <c r="E190" s="59">
        <v>450</v>
      </c>
      <c r="F190" s="59">
        <f t="shared" si="7"/>
        <v>2100</v>
      </c>
      <c r="G190" s="59">
        <v>150</v>
      </c>
      <c r="H190" s="58" t="s">
        <v>25</v>
      </c>
      <c r="I190" s="58" t="str">
        <f>""</f>
        <v/>
      </c>
    </row>
    <row r="191" spans="2:9" ht="15" customHeight="1">
      <c r="B191" s="58" t="s">
        <v>147</v>
      </c>
      <c r="C191" s="58" t="s">
        <v>167</v>
      </c>
      <c r="D191" s="59">
        <v>1650</v>
      </c>
      <c r="E191" s="59">
        <v>225</v>
      </c>
      <c r="F191" s="59">
        <f t="shared" si="7"/>
        <v>1875</v>
      </c>
      <c r="G191" s="59">
        <v>150</v>
      </c>
      <c r="H191" s="58" t="s">
        <v>25</v>
      </c>
      <c r="I191" s="58" t="str">
        <f>""</f>
        <v/>
      </c>
    </row>
    <row r="192" spans="2:9" ht="15" customHeight="1">
      <c r="B192" s="58" t="s">
        <v>147</v>
      </c>
      <c r="C192" s="58" t="s">
        <v>168</v>
      </c>
      <c r="D192" s="59">
        <v>1650</v>
      </c>
      <c r="E192" s="59">
        <v>0</v>
      </c>
      <c r="F192" s="59">
        <f t="shared" si="7"/>
        <v>1650</v>
      </c>
      <c r="G192" s="59">
        <v>150</v>
      </c>
      <c r="H192" s="58" t="s">
        <v>25</v>
      </c>
      <c r="I192" s="58" t="str">
        <f>""</f>
        <v/>
      </c>
    </row>
    <row r="193" spans="2:9" ht="15" customHeight="1">
      <c r="B193" s="58"/>
      <c r="C193" s="58"/>
      <c r="D193" s="59"/>
      <c r="E193" s="59"/>
      <c r="F193" s="59"/>
      <c r="G193" s="59"/>
      <c r="H193" s="58"/>
      <c r="I193" s="58" t="str">
        <f>""</f>
        <v/>
      </c>
    </row>
    <row r="194" spans="2:9" ht="15" customHeight="1">
      <c r="B194" s="59" t="s">
        <v>148</v>
      </c>
      <c r="C194" s="58" t="s">
        <v>304</v>
      </c>
      <c r="D194" s="59">
        <f>1650+(71-1)*150</f>
        <v>12150</v>
      </c>
      <c r="E194" s="59">
        <v>0</v>
      </c>
      <c r="F194" s="59">
        <f t="shared" si="7"/>
        <v>12150</v>
      </c>
      <c r="G194" s="59">
        <v>150</v>
      </c>
      <c r="H194" s="59" t="s">
        <v>153</v>
      </c>
      <c r="I194" s="58"/>
    </row>
    <row r="195" spans="2:9" ht="15" customHeight="1">
      <c r="B195" s="59" t="s">
        <v>148</v>
      </c>
      <c r="C195" s="58" t="s">
        <v>169</v>
      </c>
      <c r="D195" s="59">
        <f>1650+(71-1)*150</f>
        <v>12150</v>
      </c>
      <c r="E195" s="59">
        <v>0</v>
      </c>
      <c r="F195" s="59">
        <f t="shared" si="7"/>
        <v>12150</v>
      </c>
      <c r="G195" s="59">
        <v>150</v>
      </c>
      <c r="H195" s="59" t="s">
        <v>153</v>
      </c>
      <c r="I195" s="58" t="str">
        <f>""</f>
        <v/>
      </c>
    </row>
    <row r="196" spans="2:9" ht="15" customHeight="1">
      <c r="B196" s="59" t="s">
        <v>148</v>
      </c>
      <c r="C196" s="58" t="s">
        <v>170</v>
      </c>
      <c r="D196" s="59">
        <f t="shared" ref="D196:D198" si="8">1650+(71-1)*150</f>
        <v>12150</v>
      </c>
      <c r="E196" s="59">
        <v>0</v>
      </c>
      <c r="F196" s="59">
        <f t="shared" si="7"/>
        <v>12150</v>
      </c>
      <c r="G196" s="59">
        <v>150</v>
      </c>
      <c r="H196" s="59" t="s">
        <v>153</v>
      </c>
      <c r="I196" s="58" t="str">
        <f>""</f>
        <v/>
      </c>
    </row>
    <row r="197" spans="2:9" ht="15" customHeight="1">
      <c r="B197" s="59" t="s">
        <v>148</v>
      </c>
      <c r="C197" s="58" t="s">
        <v>171</v>
      </c>
      <c r="D197" s="59">
        <f t="shared" si="8"/>
        <v>12150</v>
      </c>
      <c r="E197" s="59">
        <v>0</v>
      </c>
      <c r="F197" s="59">
        <f t="shared" si="7"/>
        <v>12150</v>
      </c>
      <c r="G197" s="59">
        <v>150</v>
      </c>
      <c r="H197" s="59" t="s">
        <v>153</v>
      </c>
      <c r="I197" s="58" t="str">
        <f>""</f>
        <v/>
      </c>
    </row>
    <row r="198" spans="2:9" ht="15" customHeight="1">
      <c r="B198" s="59" t="s">
        <v>148</v>
      </c>
      <c r="C198" s="58" t="s">
        <v>172</v>
      </c>
      <c r="D198" s="59">
        <f t="shared" si="8"/>
        <v>12150</v>
      </c>
      <c r="E198" s="59">
        <v>0</v>
      </c>
      <c r="F198" s="59">
        <f t="shared" si="7"/>
        <v>12150</v>
      </c>
      <c r="G198" s="59">
        <v>150</v>
      </c>
      <c r="H198" s="59" t="s">
        <v>153</v>
      </c>
      <c r="I198" s="58" t="str">
        <f>""</f>
        <v/>
      </c>
    </row>
    <row r="199" spans="2:9" ht="15" customHeight="1">
      <c r="B199" s="59"/>
      <c r="C199" s="59"/>
      <c r="D199" s="59"/>
      <c r="E199" s="59"/>
      <c r="F199" s="59"/>
      <c r="G199" s="59"/>
      <c r="H199" s="59"/>
      <c r="I199" s="58" t="str">
        <f>""</f>
        <v/>
      </c>
    </row>
    <row r="200" spans="2:9" ht="15" customHeight="1">
      <c r="B200" s="58" t="s">
        <v>13</v>
      </c>
      <c r="C200" s="58" t="s">
        <v>174</v>
      </c>
      <c r="D200" s="59">
        <v>500</v>
      </c>
      <c r="E200" s="59">
        <v>450</v>
      </c>
      <c r="F200" s="59">
        <f t="shared" si="7"/>
        <v>950</v>
      </c>
      <c r="G200" s="59">
        <v>0</v>
      </c>
      <c r="H200" s="59"/>
      <c r="I200" s="58" t="str">
        <f>""</f>
        <v/>
      </c>
    </row>
    <row r="201" spans="2:9" ht="15" customHeight="1">
      <c r="B201" s="58" t="s">
        <v>13</v>
      </c>
      <c r="C201" s="58" t="s">
        <v>175</v>
      </c>
      <c r="D201" s="59">
        <v>500</v>
      </c>
      <c r="E201" s="59">
        <v>450</v>
      </c>
      <c r="F201" s="59">
        <f t="shared" si="7"/>
        <v>950</v>
      </c>
      <c r="G201" s="59">
        <v>0</v>
      </c>
      <c r="H201" s="58"/>
      <c r="I201" s="58" t="str">
        <f>""</f>
        <v/>
      </c>
    </row>
    <row r="202" spans="2:9" ht="15" customHeight="1">
      <c r="B202" s="58" t="s">
        <v>13</v>
      </c>
      <c r="C202" s="58" t="s">
        <v>176</v>
      </c>
      <c r="D202" s="59">
        <v>500</v>
      </c>
      <c r="E202" s="59">
        <v>225</v>
      </c>
      <c r="F202" s="59">
        <f t="shared" si="7"/>
        <v>725</v>
      </c>
      <c r="G202" s="59">
        <v>0</v>
      </c>
      <c r="H202" s="58"/>
      <c r="I202" s="58" t="str">
        <f>""</f>
        <v/>
      </c>
    </row>
    <row r="203" spans="2:9" ht="15" customHeight="1">
      <c r="B203" s="58" t="s">
        <v>13</v>
      </c>
      <c r="C203" s="58" t="s">
        <v>177</v>
      </c>
      <c r="D203" s="59">
        <v>500</v>
      </c>
      <c r="E203" s="59">
        <v>0</v>
      </c>
      <c r="F203" s="59">
        <f t="shared" si="7"/>
        <v>500</v>
      </c>
      <c r="G203" s="59">
        <v>0</v>
      </c>
      <c r="H203" s="58"/>
      <c r="I203" s="58" t="str">
        <f>""</f>
        <v/>
      </c>
    </row>
    <row r="204" spans="2:9" ht="15" customHeight="1">
      <c r="B204" s="58"/>
      <c r="C204" s="58"/>
      <c r="D204" s="59"/>
      <c r="E204" s="59"/>
      <c r="F204" s="59"/>
      <c r="G204" s="59"/>
      <c r="H204" s="58"/>
      <c r="I204" s="58" t="str">
        <f>""</f>
        <v/>
      </c>
    </row>
    <row r="205" spans="2:9" ht="15" customHeight="1">
      <c r="B205" s="58" t="s">
        <v>14</v>
      </c>
      <c r="C205" s="58" t="s">
        <v>178</v>
      </c>
      <c r="D205" s="59">
        <v>3750</v>
      </c>
      <c r="E205" s="59">
        <v>450</v>
      </c>
      <c r="F205" s="59">
        <f t="shared" si="7"/>
        <v>4200</v>
      </c>
      <c r="G205" s="59">
        <v>0</v>
      </c>
      <c r="H205" s="58"/>
      <c r="I205" s="58" t="str">
        <f>""</f>
        <v/>
      </c>
    </row>
    <row r="206" spans="2:9" ht="15" customHeight="1">
      <c r="B206" s="58" t="s">
        <v>14</v>
      </c>
      <c r="C206" s="58" t="s">
        <v>179</v>
      </c>
      <c r="D206" s="59">
        <v>3750</v>
      </c>
      <c r="E206" s="59">
        <v>450</v>
      </c>
      <c r="F206" s="59">
        <f t="shared" si="7"/>
        <v>4200</v>
      </c>
      <c r="G206" s="59">
        <v>0</v>
      </c>
      <c r="H206" s="58"/>
      <c r="I206" s="58" t="str">
        <f>""</f>
        <v/>
      </c>
    </row>
    <row r="207" spans="2:9" ht="15" customHeight="1">
      <c r="B207" s="58" t="s">
        <v>14</v>
      </c>
      <c r="C207" s="58" t="s">
        <v>180</v>
      </c>
      <c r="D207" s="59">
        <v>3750</v>
      </c>
      <c r="E207" s="59">
        <v>225</v>
      </c>
      <c r="F207" s="59">
        <f t="shared" si="7"/>
        <v>3975</v>
      </c>
      <c r="G207" s="59">
        <v>0</v>
      </c>
      <c r="H207" s="58"/>
      <c r="I207" s="58" t="str">
        <f>""</f>
        <v/>
      </c>
    </row>
    <row r="208" spans="2:9" ht="15" customHeight="1">
      <c r="B208" s="58" t="s">
        <v>14</v>
      </c>
      <c r="C208" s="58" t="s">
        <v>181</v>
      </c>
      <c r="D208" s="59">
        <v>3750</v>
      </c>
      <c r="E208" s="59">
        <v>0</v>
      </c>
      <c r="F208" s="59">
        <f t="shared" si="7"/>
        <v>3750</v>
      </c>
      <c r="G208" s="59">
        <v>0</v>
      </c>
      <c r="H208" s="58"/>
      <c r="I208" s="58" t="str">
        <f>""</f>
        <v/>
      </c>
    </row>
    <row r="209" spans="2:9" ht="15" customHeight="1">
      <c r="B209" s="58"/>
      <c r="C209" s="58"/>
      <c r="D209" s="59"/>
      <c r="E209" s="59"/>
      <c r="F209" s="59"/>
      <c r="G209" s="59"/>
      <c r="H209" s="58"/>
      <c r="I209" s="58" t="str">
        <f>""</f>
        <v/>
      </c>
    </row>
    <row r="210" spans="2:9" ht="15" customHeight="1">
      <c r="B210" s="58" t="s">
        <v>151</v>
      </c>
      <c r="C210" s="58" t="s">
        <v>182</v>
      </c>
      <c r="D210" s="59">
        <v>3750</v>
      </c>
      <c r="E210" s="59">
        <v>450</v>
      </c>
      <c r="F210" s="59">
        <f t="shared" si="7"/>
        <v>4200</v>
      </c>
      <c r="G210" s="59">
        <v>150</v>
      </c>
      <c r="H210" s="59" t="s">
        <v>24</v>
      </c>
      <c r="I210" s="58" t="str">
        <f>""</f>
        <v/>
      </c>
    </row>
    <row r="211" spans="2:9" ht="15" customHeight="1">
      <c r="B211" s="58" t="s">
        <v>151</v>
      </c>
      <c r="C211" s="58" t="s">
        <v>183</v>
      </c>
      <c r="D211" s="59">
        <v>3750</v>
      </c>
      <c r="E211" s="59">
        <v>450</v>
      </c>
      <c r="F211" s="59">
        <f t="shared" si="7"/>
        <v>4200</v>
      </c>
      <c r="G211" s="59">
        <v>150</v>
      </c>
      <c r="H211" s="59" t="s">
        <v>24</v>
      </c>
      <c r="I211" s="58" t="str">
        <f>""</f>
        <v/>
      </c>
    </row>
    <row r="212" spans="2:9" ht="15" customHeight="1">
      <c r="B212" s="58" t="s">
        <v>151</v>
      </c>
      <c r="C212" s="58" t="s">
        <v>184</v>
      </c>
      <c r="D212" s="59">
        <v>3750</v>
      </c>
      <c r="E212" s="59">
        <v>225</v>
      </c>
      <c r="F212" s="59">
        <f t="shared" si="7"/>
        <v>3975</v>
      </c>
      <c r="G212" s="59">
        <v>150</v>
      </c>
      <c r="H212" s="59" t="s">
        <v>24</v>
      </c>
      <c r="I212" s="58" t="str">
        <f>""</f>
        <v/>
      </c>
    </row>
    <row r="213" spans="2:9" ht="15" customHeight="1">
      <c r="B213" s="58" t="s">
        <v>151</v>
      </c>
      <c r="C213" s="58" t="s">
        <v>185</v>
      </c>
      <c r="D213" s="59">
        <v>3750</v>
      </c>
      <c r="E213" s="59">
        <v>0</v>
      </c>
      <c r="F213" s="59">
        <f t="shared" si="7"/>
        <v>3750</v>
      </c>
      <c r="G213" s="59">
        <v>150</v>
      </c>
      <c r="H213" s="59" t="s">
        <v>24</v>
      </c>
      <c r="I213" s="58" t="str">
        <f>""</f>
        <v/>
      </c>
    </row>
    <row r="214" spans="2:9" ht="15" customHeight="1">
      <c r="B214" s="58"/>
      <c r="C214" s="58"/>
      <c r="D214" s="59"/>
      <c r="E214" s="59"/>
      <c r="F214" s="59"/>
      <c r="G214" s="59"/>
      <c r="H214" s="59"/>
      <c r="I214" s="58" t="str">
        <f>""</f>
        <v/>
      </c>
    </row>
    <row r="215" spans="2:9" ht="15" customHeight="1">
      <c r="B215" s="59" t="s">
        <v>152</v>
      </c>
      <c r="C215" s="58" t="s">
        <v>305</v>
      </c>
      <c r="D215" s="59">
        <f>3750+(71-10)*150</f>
        <v>12900</v>
      </c>
      <c r="E215" s="59">
        <v>0</v>
      </c>
      <c r="F215" s="59">
        <f t="shared" si="7"/>
        <v>12900</v>
      </c>
      <c r="G215" s="59">
        <v>150</v>
      </c>
      <c r="H215" s="59" t="s">
        <v>153</v>
      </c>
      <c r="I215" s="58" t="str">
        <f>""</f>
        <v/>
      </c>
    </row>
    <row r="216" spans="2:9" ht="15" customHeight="1">
      <c r="B216" s="59" t="s">
        <v>152</v>
      </c>
      <c r="C216" s="58" t="s">
        <v>186</v>
      </c>
      <c r="D216" s="59">
        <f>3750+(71-10)*150</f>
        <v>12900</v>
      </c>
      <c r="E216" s="59">
        <v>0</v>
      </c>
      <c r="F216" s="59">
        <f t="shared" si="7"/>
        <v>12900</v>
      </c>
      <c r="G216" s="59">
        <v>150</v>
      </c>
      <c r="H216" s="59" t="s">
        <v>153</v>
      </c>
      <c r="I216" s="58" t="str">
        <f>""</f>
        <v/>
      </c>
    </row>
    <row r="217" spans="2:9" ht="15" customHeight="1">
      <c r="B217" s="59" t="s">
        <v>152</v>
      </c>
      <c r="C217" s="58" t="s">
        <v>187</v>
      </c>
      <c r="D217" s="59">
        <f t="shared" ref="D217:D219" si="9">3750+(71-10)*150</f>
        <v>12900</v>
      </c>
      <c r="E217" s="59">
        <v>0</v>
      </c>
      <c r="F217" s="59">
        <f t="shared" si="7"/>
        <v>12900</v>
      </c>
      <c r="G217" s="59">
        <v>150</v>
      </c>
      <c r="H217" s="59" t="s">
        <v>153</v>
      </c>
      <c r="I217" s="58" t="str">
        <f>""</f>
        <v/>
      </c>
    </row>
    <row r="218" spans="2:9" ht="15" customHeight="1">
      <c r="B218" s="59" t="s">
        <v>152</v>
      </c>
      <c r="C218" s="58" t="s">
        <v>250</v>
      </c>
      <c r="D218" s="59">
        <f t="shared" si="9"/>
        <v>12900</v>
      </c>
      <c r="E218" s="59">
        <v>0</v>
      </c>
      <c r="F218" s="59">
        <f t="shared" si="7"/>
        <v>12900</v>
      </c>
      <c r="G218" s="59">
        <v>150</v>
      </c>
      <c r="H218" s="59" t="s">
        <v>153</v>
      </c>
      <c r="I218" s="58" t="str">
        <f>""</f>
        <v/>
      </c>
    </row>
    <row r="219" spans="2:9" ht="15" customHeight="1">
      <c r="B219" s="59" t="s">
        <v>152</v>
      </c>
      <c r="C219" s="58" t="s">
        <v>188</v>
      </c>
      <c r="D219" s="59">
        <f t="shared" si="9"/>
        <v>12900</v>
      </c>
      <c r="E219" s="59">
        <v>0</v>
      </c>
      <c r="F219" s="59">
        <f t="shared" si="7"/>
        <v>12900</v>
      </c>
      <c r="G219" s="59">
        <v>150</v>
      </c>
      <c r="H219" s="59" t="s">
        <v>153</v>
      </c>
      <c r="I219" s="58" t="str">
        <f>""</f>
        <v/>
      </c>
    </row>
    <row r="220" spans="2:9" ht="15" customHeight="1">
      <c r="B220" s="59"/>
      <c r="C220" s="59"/>
      <c r="D220" s="59"/>
      <c r="E220" s="59"/>
      <c r="F220" s="59"/>
      <c r="G220" s="59"/>
      <c r="H220" s="59"/>
      <c r="I220" s="58" t="str">
        <f>""</f>
        <v/>
      </c>
    </row>
    <row r="221" spans="2:9" ht="15" customHeight="1">
      <c r="B221" s="58" t="s">
        <v>15</v>
      </c>
      <c r="C221" s="58" t="s">
        <v>189</v>
      </c>
      <c r="D221" s="59">
        <v>500</v>
      </c>
      <c r="E221" s="59">
        <v>450</v>
      </c>
      <c r="F221" s="59">
        <f t="shared" si="7"/>
        <v>950</v>
      </c>
      <c r="G221" s="59">
        <v>0</v>
      </c>
      <c r="H221" s="59"/>
      <c r="I221" s="58" t="str">
        <f>""</f>
        <v/>
      </c>
    </row>
    <row r="222" spans="2:9" ht="15" customHeight="1">
      <c r="B222" s="58" t="s">
        <v>15</v>
      </c>
      <c r="C222" s="58" t="s">
        <v>190</v>
      </c>
      <c r="D222" s="59">
        <v>500</v>
      </c>
      <c r="E222" s="59">
        <v>450</v>
      </c>
      <c r="F222" s="59">
        <f t="shared" si="7"/>
        <v>950</v>
      </c>
      <c r="G222" s="59">
        <v>0</v>
      </c>
      <c r="H222" s="58"/>
      <c r="I222" s="58" t="str">
        <f>""</f>
        <v/>
      </c>
    </row>
    <row r="223" spans="2:9" ht="15" customHeight="1">
      <c r="B223" s="58" t="s">
        <v>15</v>
      </c>
      <c r="C223" s="58" t="s">
        <v>191</v>
      </c>
      <c r="D223" s="59">
        <v>500</v>
      </c>
      <c r="E223" s="59">
        <v>225</v>
      </c>
      <c r="F223" s="59">
        <f t="shared" si="7"/>
        <v>725</v>
      </c>
      <c r="G223" s="59">
        <v>0</v>
      </c>
      <c r="H223" s="58"/>
      <c r="I223" s="58" t="str">
        <f>""</f>
        <v/>
      </c>
    </row>
    <row r="224" spans="2:9" ht="15" customHeight="1">
      <c r="B224" s="58" t="s">
        <v>15</v>
      </c>
      <c r="C224" s="58" t="s">
        <v>192</v>
      </c>
      <c r="D224" s="59">
        <v>500</v>
      </c>
      <c r="E224" s="59">
        <v>0</v>
      </c>
      <c r="F224" s="59">
        <f t="shared" si="7"/>
        <v>500</v>
      </c>
      <c r="G224" s="59">
        <v>0</v>
      </c>
      <c r="H224" s="58"/>
      <c r="I224" s="58" t="str">
        <f>""</f>
        <v/>
      </c>
    </row>
    <row r="225" spans="2:9" ht="15" customHeight="1">
      <c r="B225" s="58"/>
      <c r="C225" s="58"/>
      <c r="D225" s="59"/>
      <c r="E225" s="59"/>
      <c r="F225" s="59"/>
      <c r="G225" s="59"/>
      <c r="H225" s="58"/>
      <c r="I225" s="58" t="str">
        <f>""</f>
        <v/>
      </c>
    </row>
    <row r="226" spans="2:9" ht="15" customHeight="1">
      <c r="B226" s="58" t="s">
        <v>16</v>
      </c>
      <c r="C226" s="58" t="s">
        <v>193</v>
      </c>
      <c r="D226" s="59">
        <v>3750</v>
      </c>
      <c r="E226" s="59">
        <v>450</v>
      </c>
      <c r="F226" s="59">
        <f t="shared" si="7"/>
        <v>4200</v>
      </c>
      <c r="G226" s="59">
        <v>0</v>
      </c>
      <c r="H226" s="58"/>
      <c r="I226" s="58" t="str">
        <f>""</f>
        <v/>
      </c>
    </row>
    <row r="227" spans="2:9" ht="15" customHeight="1">
      <c r="B227" s="58" t="s">
        <v>16</v>
      </c>
      <c r="C227" s="58" t="s">
        <v>194</v>
      </c>
      <c r="D227" s="59">
        <v>3750</v>
      </c>
      <c r="E227" s="59">
        <v>450</v>
      </c>
      <c r="F227" s="59">
        <f t="shared" si="7"/>
        <v>4200</v>
      </c>
      <c r="G227" s="59">
        <v>0</v>
      </c>
      <c r="H227" s="58"/>
      <c r="I227" s="58" t="str">
        <f>""</f>
        <v/>
      </c>
    </row>
    <row r="228" spans="2:9" ht="15" customHeight="1">
      <c r="B228" s="58" t="s">
        <v>16</v>
      </c>
      <c r="C228" s="58" t="s">
        <v>195</v>
      </c>
      <c r="D228" s="59">
        <v>3750</v>
      </c>
      <c r="E228" s="59">
        <v>225</v>
      </c>
      <c r="F228" s="59">
        <f t="shared" si="7"/>
        <v>3975</v>
      </c>
      <c r="G228" s="59">
        <v>0</v>
      </c>
      <c r="H228" s="58"/>
      <c r="I228" s="58" t="str">
        <f>""</f>
        <v/>
      </c>
    </row>
    <row r="229" spans="2:9" ht="15" customHeight="1">
      <c r="B229" s="58" t="s">
        <v>16</v>
      </c>
      <c r="C229" s="58" t="s">
        <v>196</v>
      </c>
      <c r="D229" s="59">
        <v>3750</v>
      </c>
      <c r="E229" s="59">
        <v>0</v>
      </c>
      <c r="F229" s="59">
        <f t="shared" si="7"/>
        <v>3750</v>
      </c>
      <c r="G229" s="59">
        <v>0</v>
      </c>
      <c r="H229" s="58"/>
      <c r="I229" s="58" t="str">
        <f>""</f>
        <v/>
      </c>
    </row>
    <row r="230" spans="2:9" ht="15" customHeight="1">
      <c r="B230" s="58"/>
      <c r="C230" s="58"/>
      <c r="D230" s="59"/>
      <c r="E230" s="59"/>
      <c r="F230" s="59"/>
      <c r="G230" s="59"/>
      <c r="H230" s="58"/>
      <c r="I230" s="58" t="str">
        <f>""</f>
        <v/>
      </c>
    </row>
    <row r="231" spans="2:9" ht="15" customHeight="1">
      <c r="B231" s="58" t="s">
        <v>150</v>
      </c>
      <c r="C231" s="58" t="s">
        <v>197</v>
      </c>
      <c r="D231" s="59">
        <v>3750</v>
      </c>
      <c r="E231" s="59">
        <v>450</v>
      </c>
      <c r="F231" s="59">
        <f t="shared" si="7"/>
        <v>4200</v>
      </c>
      <c r="G231" s="59">
        <v>150</v>
      </c>
      <c r="H231" s="59" t="s">
        <v>24</v>
      </c>
      <c r="I231" s="58" t="str">
        <f>""</f>
        <v/>
      </c>
    </row>
    <row r="232" spans="2:9" ht="15" customHeight="1">
      <c r="B232" s="58" t="s">
        <v>150</v>
      </c>
      <c r="C232" s="58" t="s">
        <v>198</v>
      </c>
      <c r="D232" s="59">
        <v>3750</v>
      </c>
      <c r="E232" s="59">
        <v>450</v>
      </c>
      <c r="F232" s="59">
        <f t="shared" si="7"/>
        <v>4200</v>
      </c>
      <c r="G232" s="59">
        <v>150</v>
      </c>
      <c r="H232" s="59" t="s">
        <v>24</v>
      </c>
      <c r="I232" s="58" t="str">
        <f>""</f>
        <v/>
      </c>
    </row>
    <row r="233" spans="2:9" ht="15" customHeight="1">
      <c r="B233" s="58" t="s">
        <v>150</v>
      </c>
      <c r="C233" s="58" t="s">
        <v>199</v>
      </c>
      <c r="D233" s="59">
        <v>3750</v>
      </c>
      <c r="E233" s="59">
        <v>225</v>
      </c>
      <c r="F233" s="59">
        <f t="shared" si="7"/>
        <v>3975</v>
      </c>
      <c r="G233" s="59">
        <v>150</v>
      </c>
      <c r="H233" s="59" t="s">
        <v>24</v>
      </c>
      <c r="I233" s="58" t="str">
        <f>""</f>
        <v/>
      </c>
    </row>
    <row r="234" spans="2:9" ht="15" customHeight="1">
      <c r="B234" s="58" t="s">
        <v>150</v>
      </c>
      <c r="C234" s="58" t="s">
        <v>200</v>
      </c>
      <c r="D234" s="59">
        <v>3750</v>
      </c>
      <c r="E234" s="59">
        <v>0</v>
      </c>
      <c r="F234" s="59">
        <f t="shared" si="7"/>
        <v>3750</v>
      </c>
      <c r="G234" s="59">
        <v>150</v>
      </c>
      <c r="H234" s="59" t="s">
        <v>24</v>
      </c>
      <c r="I234" s="58" t="str">
        <f>""</f>
        <v/>
      </c>
    </row>
    <row r="235" spans="2:9" ht="15" customHeight="1">
      <c r="B235" s="58"/>
      <c r="C235" s="58"/>
      <c r="D235" s="59"/>
      <c r="E235" s="59"/>
      <c r="F235" s="59"/>
      <c r="G235" s="59"/>
      <c r="H235" s="59"/>
      <c r="I235" s="58" t="str">
        <f>""</f>
        <v/>
      </c>
    </row>
    <row r="236" spans="2:9" ht="15" customHeight="1">
      <c r="B236" s="59" t="s">
        <v>149</v>
      </c>
      <c r="C236" s="58" t="s">
        <v>306</v>
      </c>
      <c r="D236" s="59">
        <f>3750+(71-10)*150</f>
        <v>12900</v>
      </c>
      <c r="E236" s="59">
        <v>0</v>
      </c>
      <c r="F236" s="59">
        <f t="shared" si="7"/>
        <v>12900</v>
      </c>
      <c r="G236" s="59">
        <v>150</v>
      </c>
      <c r="H236" s="59" t="s">
        <v>153</v>
      </c>
      <c r="I236" s="58"/>
    </row>
    <row r="237" spans="2:9" ht="15" customHeight="1">
      <c r="B237" s="59" t="s">
        <v>149</v>
      </c>
      <c r="C237" s="58" t="s">
        <v>201</v>
      </c>
      <c r="D237" s="59">
        <f>3750+(71-10)*150</f>
        <v>12900</v>
      </c>
      <c r="E237" s="59">
        <v>0</v>
      </c>
      <c r="F237" s="59">
        <f t="shared" si="7"/>
        <v>12900</v>
      </c>
      <c r="G237" s="59">
        <v>150</v>
      </c>
      <c r="H237" s="59" t="s">
        <v>153</v>
      </c>
      <c r="I237" s="58" t="str">
        <f>""</f>
        <v/>
      </c>
    </row>
    <row r="238" spans="2:9" ht="15" customHeight="1">
      <c r="B238" s="59" t="s">
        <v>149</v>
      </c>
      <c r="C238" s="58" t="s">
        <v>202</v>
      </c>
      <c r="D238" s="59">
        <f t="shared" ref="D238:D240" si="10">3750+(71-10)*150</f>
        <v>12900</v>
      </c>
      <c r="E238" s="59">
        <v>0</v>
      </c>
      <c r="F238" s="59">
        <f t="shared" si="7"/>
        <v>12900</v>
      </c>
      <c r="G238" s="59">
        <v>150</v>
      </c>
      <c r="H238" s="59" t="s">
        <v>153</v>
      </c>
      <c r="I238" s="58" t="str">
        <f>""</f>
        <v/>
      </c>
    </row>
    <row r="239" spans="2:9" ht="15" customHeight="1">
      <c r="B239" s="59" t="s">
        <v>149</v>
      </c>
      <c r="C239" s="58" t="s">
        <v>203</v>
      </c>
      <c r="D239" s="59">
        <f t="shared" si="10"/>
        <v>12900</v>
      </c>
      <c r="E239" s="59">
        <v>0</v>
      </c>
      <c r="F239" s="59">
        <f t="shared" si="7"/>
        <v>12900</v>
      </c>
      <c r="G239" s="59">
        <v>150</v>
      </c>
      <c r="H239" s="59" t="s">
        <v>153</v>
      </c>
      <c r="I239" s="58" t="str">
        <f>""</f>
        <v/>
      </c>
    </row>
    <row r="240" spans="2:9" ht="15" customHeight="1">
      <c r="B240" s="59" t="s">
        <v>149</v>
      </c>
      <c r="C240" s="58" t="s">
        <v>204</v>
      </c>
      <c r="D240" s="59">
        <f t="shared" si="10"/>
        <v>12900</v>
      </c>
      <c r="E240" s="59">
        <v>0</v>
      </c>
      <c r="F240" s="59">
        <f t="shared" si="7"/>
        <v>12900</v>
      </c>
      <c r="G240" s="59">
        <v>150</v>
      </c>
      <c r="H240" s="59" t="s">
        <v>153</v>
      </c>
      <c r="I240" s="58" t="str">
        <f>""</f>
        <v/>
      </c>
    </row>
    <row r="241" spans="2:9" ht="15" customHeight="1">
      <c r="B241" s="59"/>
      <c r="C241" s="59"/>
      <c r="D241" s="59"/>
      <c r="E241" s="59"/>
      <c r="F241" s="59"/>
      <c r="G241" s="59"/>
      <c r="H241" s="59"/>
      <c r="I241" s="58" t="str">
        <f>""</f>
        <v/>
      </c>
    </row>
    <row r="242" spans="2:9" ht="15" customHeight="1">
      <c r="B242" s="52" t="s">
        <v>142</v>
      </c>
      <c r="C242" s="53" t="s">
        <v>159</v>
      </c>
      <c r="D242" s="54" t="s">
        <v>143</v>
      </c>
      <c r="E242" s="55" t="s">
        <v>144</v>
      </c>
      <c r="F242" s="55" t="s">
        <v>145</v>
      </c>
      <c r="G242" s="55" t="s">
        <v>146</v>
      </c>
      <c r="H242" s="58"/>
      <c r="I242" s="58" t="str">
        <f>""</f>
        <v/>
      </c>
    </row>
    <row r="243" spans="2:9" ht="15" customHeight="1">
      <c r="B243" s="56" t="s">
        <v>44</v>
      </c>
      <c r="C243" s="56" t="s">
        <v>44</v>
      </c>
      <c r="D243" s="57">
        <v>0</v>
      </c>
      <c r="E243" s="55">
        <v>0</v>
      </c>
      <c r="F243" s="55">
        <v>0</v>
      </c>
      <c r="G243" s="55">
        <v>0</v>
      </c>
      <c r="H243" s="58"/>
      <c r="I243" s="58" t="str">
        <f>""</f>
        <v/>
      </c>
    </row>
    <row r="244" spans="2:9" ht="15" customHeight="1">
      <c r="B244" s="56"/>
      <c r="C244" s="56"/>
      <c r="D244" s="57"/>
      <c r="E244" s="55"/>
      <c r="F244" s="55"/>
      <c r="G244" s="55"/>
      <c r="H244" s="58"/>
      <c r="I244" s="58" t="str">
        <f>""</f>
        <v/>
      </c>
    </row>
    <row r="245" spans="2:9" ht="15" customHeight="1">
      <c r="B245" s="58" t="s">
        <v>12</v>
      </c>
      <c r="C245" s="58" t="s">
        <v>206</v>
      </c>
      <c r="D245" s="57">
        <v>500</v>
      </c>
      <c r="E245" s="57">
        <v>450</v>
      </c>
      <c r="F245" s="59">
        <f>D245+E245</f>
        <v>950</v>
      </c>
      <c r="G245" s="57">
        <v>0</v>
      </c>
      <c r="H245" s="58"/>
      <c r="I245" s="58" t="str">
        <f>""</f>
        <v/>
      </c>
    </row>
    <row r="246" spans="2:9" ht="15" customHeight="1">
      <c r="B246" s="58" t="s">
        <v>12</v>
      </c>
      <c r="C246" s="58" t="s">
        <v>207</v>
      </c>
      <c r="D246" s="59">
        <v>500</v>
      </c>
      <c r="E246" s="59">
        <v>450</v>
      </c>
      <c r="F246" s="59">
        <f>D246+E246</f>
        <v>950</v>
      </c>
      <c r="G246" s="59">
        <v>0</v>
      </c>
      <c r="H246" s="58"/>
      <c r="I246" s="58" t="str">
        <f>""</f>
        <v/>
      </c>
    </row>
    <row r="247" spans="2:9" ht="15" customHeight="1">
      <c r="B247" s="58" t="s">
        <v>12</v>
      </c>
      <c r="C247" s="58" t="s">
        <v>208</v>
      </c>
      <c r="D247" s="59">
        <v>500</v>
      </c>
      <c r="E247" s="59">
        <v>225</v>
      </c>
      <c r="F247" s="59">
        <f t="shared" ref="F247:F301" si="11">D247+E247</f>
        <v>725</v>
      </c>
      <c r="G247" s="59">
        <v>0</v>
      </c>
      <c r="H247" s="58"/>
      <c r="I247" s="58" t="str">
        <f>""</f>
        <v/>
      </c>
    </row>
    <row r="248" spans="2:9" ht="15" customHeight="1">
      <c r="B248" s="58" t="s">
        <v>12</v>
      </c>
      <c r="C248" s="58" t="s">
        <v>249</v>
      </c>
      <c r="D248" s="59">
        <v>500</v>
      </c>
      <c r="E248" s="59">
        <v>0</v>
      </c>
      <c r="F248" s="59">
        <f t="shared" si="11"/>
        <v>500</v>
      </c>
      <c r="G248" s="59">
        <v>0</v>
      </c>
      <c r="H248" s="58"/>
      <c r="I248" s="58" t="str">
        <f>""</f>
        <v/>
      </c>
    </row>
    <row r="249" spans="2:9" ht="15" customHeight="1">
      <c r="B249" s="58"/>
      <c r="C249" s="58"/>
      <c r="D249" s="59"/>
      <c r="E249" s="59"/>
      <c r="F249" s="59"/>
      <c r="G249" s="59"/>
      <c r="H249" s="58"/>
      <c r="I249" s="58" t="str">
        <f>""</f>
        <v/>
      </c>
    </row>
    <row r="250" spans="2:9" ht="15" customHeight="1">
      <c r="B250" s="58" t="s">
        <v>147</v>
      </c>
      <c r="C250" s="58" t="s">
        <v>209</v>
      </c>
      <c r="D250" s="59">
        <v>2100</v>
      </c>
      <c r="E250" s="59">
        <v>225</v>
      </c>
      <c r="F250" s="59">
        <f t="shared" si="11"/>
        <v>2325</v>
      </c>
      <c r="G250" s="59">
        <v>150</v>
      </c>
      <c r="H250" s="58" t="s">
        <v>25</v>
      </c>
      <c r="I250" s="58" t="str">
        <f>""</f>
        <v/>
      </c>
    </row>
    <row r="251" spans="2:9" ht="15" customHeight="1">
      <c r="B251" s="58" t="s">
        <v>147</v>
      </c>
      <c r="C251" s="58" t="s">
        <v>210</v>
      </c>
      <c r="D251" s="59">
        <v>2100</v>
      </c>
      <c r="E251" s="59">
        <v>0</v>
      </c>
      <c r="F251" s="59">
        <f t="shared" si="11"/>
        <v>2100</v>
      </c>
      <c r="G251" s="59">
        <v>150</v>
      </c>
      <c r="H251" s="58" t="s">
        <v>25</v>
      </c>
      <c r="I251" s="58" t="str">
        <f>""</f>
        <v/>
      </c>
    </row>
    <row r="252" spans="2:9" ht="15" customHeight="1">
      <c r="B252" s="58" t="s">
        <v>147</v>
      </c>
      <c r="C252" s="58" t="s">
        <v>211</v>
      </c>
      <c r="D252" s="59">
        <v>0</v>
      </c>
      <c r="E252" s="59">
        <v>0</v>
      </c>
      <c r="F252" s="59">
        <f t="shared" si="11"/>
        <v>0</v>
      </c>
      <c r="G252" s="59">
        <v>0</v>
      </c>
      <c r="H252" s="58"/>
      <c r="I252" s="58" t="s">
        <v>268</v>
      </c>
    </row>
    <row r="253" spans="2:9" ht="15" customHeight="1">
      <c r="B253" s="58" t="s">
        <v>147</v>
      </c>
      <c r="C253" s="58" t="s">
        <v>212</v>
      </c>
      <c r="D253" s="59">
        <v>0</v>
      </c>
      <c r="E253" s="59">
        <v>0</v>
      </c>
      <c r="F253" s="59">
        <f t="shared" si="11"/>
        <v>0</v>
      </c>
      <c r="G253" s="59">
        <v>0</v>
      </c>
      <c r="H253" s="58"/>
      <c r="I253" s="58" t="s">
        <v>268</v>
      </c>
    </row>
    <row r="254" spans="2:9" ht="15" customHeight="1">
      <c r="B254" s="58"/>
      <c r="C254" s="58"/>
      <c r="D254" s="59"/>
      <c r="E254" s="59"/>
      <c r="F254" s="59"/>
      <c r="G254" s="59"/>
      <c r="H254" s="58"/>
      <c r="I254" s="58" t="str">
        <f>""</f>
        <v/>
      </c>
    </row>
    <row r="255" spans="2:9" ht="15" customHeight="1">
      <c r="B255" s="59" t="s">
        <v>148</v>
      </c>
      <c r="C255" s="58" t="s">
        <v>307</v>
      </c>
      <c r="D255" s="59">
        <f>1650+(71-1)*150</f>
        <v>12150</v>
      </c>
      <c r="E255" s="59">
        <v>0</v>
      </c>
      <c r="F255" s="59">
        <f t="shared" si="11"/>
        <v>12150</v>
      </c>
      <c r="G255" s="59">
        <v>150</v>
      </c>
      <c r="H255" s="59" t="s">
        <v>153</v>
      </c>
      <c r="I255" s="58"/>
    </row>
    <row r="256" spans="2:9" ht="15" customHeight="1">
      <c r="B256" s="59" t="s">
        <v>148</v>
      </c>
      <c r="C256" s="58" t="s">
        <v>213</v>
      </c>
      <c r="D256" s="59">
        <f>1650+(71-1)*150</f>
        <v>12150</v>
      </c>
      <c r="E256" s="59">
        <v>0</v>
      </c>
      <c r="F256" s="59">
        <f t="shared" si="11"/>
        <v>12150</v>
      </c>
      <c r="G256" s="59">
        <v>150</v>
      </c>
      <c r="H256" s="59" t="s">
        <v>153</v>
      </c>
      <c r="I256" s="58" t="str">
        <f>""</f>
        <v/>
      </c>
    </row>
    <row r="257" spans="2:9" ht="15" customHeight="1">
      <c r="B257" s="59" t="s">
        <v>148</v>
      </c>
      <c r="C257" s="58" t="s">
        <v>214</v>
      </c>
      <c r="D257" s="59">
        <f t="shared" ref="D257:D259" si="12">1650+(71-1)*150</f>
        <v>12150</v>
      </c>
      <c r="E257" s="59">
        <v>0</v>
      </c>
      <c r="F257" s="59">
        <f t="shared" si="11"/>
        <v>12150</v>
      </c>
      <c r="G257" s="59">
        <v>150</v>
      </c>
      <c r="H257" s="59" t="s">
        <v>153</v>
      </c>
      <c r="I257" s="58" t="str">
        <f>""</f>
        <v/>
      </c>
    </row>
    <row r="258" spans="2:9" ht="15" customHeight="1">
      <c r="B258" s="59" t="s">
        <v>148</v>
      </c>
      <c r="C258" s="58" t="s">
        <v>215</v>
      </c>
      <c r="D258" s="59">
        <f t="shared" si="12"/>
        <v>12150</v>
      </c>
      <c r="E258" s="59">
        <v>0</v>
      </c>
      <c r="F258" s="59">
        <f t="shared" si="11"/>
        <v>12150</v>
      </c>
      <c r="G258" s="59">
        <v>150</v>
      </c>
      <c r="H258" s="59" t="s">
        <v>153</v>
      </c>
      <c r="I258" s="58" t="str">
        <f>""</f>
        <v/>
      </c>
    </row>
    <row r="259" spans="2:9" ht="15" customHeight="1">
      <c r="B259" s="59" t="s">
        <v>148</v>
      </c>
      <c r="C259" s="58" t="s">
        <v>216</v>
      </c>
      <c r="D259" s="59">
        <f t="shared" si="12"/>
        <v>12150</v>
      </c>
      <c r="E259" s="59">
        <v>0</v>
      </c>
      <c r="F259" s="59">
        <f t="shared" si="11"/>
        <v>12150</v>
      </c>
      <c r="G259" s="59">
        <v>150</v>
      </c>
      <c r="H259" s="59" t="s">
        <v>153</v>
      </c>
      <c r="I259" s="58" t="str">
        <f>""</f>
        <v/>
      </c>
    </row>
    <row r="260" spans="2:9" ht="15" customHeight="1">
      <c r="B260" s="59"/>
      <c r="C260" s="58"/>
      <c r="D260" s="59"/>
      <c r="E260" s="59"/>
      <c r="F260" s="59"/>
      <c r="G260" s="59"/>
      <c r="H260" s="59"/>
      <c r="I260" s="58" t="str">
        <f>""</f>
        <v/>
      </c>
    </row>
    <row r="261" spans="2:9" ht="15" customHeight="1">
      <c r="B261" s="58" t="s">
        <v>13</v>
      </c>
      <c r="C261" s="58" t="s">
        <v>217</v>
      </c>
      <c r="D261" s="59">
        <v>500</v>
      </c>
      <c r="E261" s="59">
        <v>450</v>
      </c>
      <c r="F261" s="59">
        <f t="shared" si="11"/>
        <v>950</v>
      </c>
      <c r="G261" s="59">
        <v>0</v>
      </c>
      <c r="H261" s="59"/>
      <c r="I261" s="58" t="str">
        <f>""</f>
        <v/>
      </c>
    </row>
    <row r="262" spans="2:9" ht="15" customHeight="1">
      <c r="B262" s="58" t="s">
        <v>13</v>
      </c>
      <c r="C262" s="58" t="s">
        <v>218</v>
      </c>
      <c r="D262" s="59">
        <v>500</v>
      </c>
      <c r="E262" s="59">
        <v>450</v>
      </c>
      <c r="F262" s="59">
        <f t="shared" si="11"/>
        <v>950</v>
      </c>
      <c r="G262" s="59">
        <v>0</v>
      </c>
      <c r="H262" s="58"/>
      <c r="I262" s="58" t="str">
        <f>""</f>
        <v/>
      </c>
    </row>
    <row r="263" spans="2:9" ht="15" customHeight="1">
      <c r="B263" s="58" t="s">
        <v>13</v>
      </c>
      <c r="C263" s="58" t="s">
        <v>219</v>
      </c>
      <c r="D263" s="59">
        <v>500</v>
      </c>
      <c r="E263" s="59">
        <v>225</v>
      </c>
      <c r="F263" s="59">
        <f t="shared" si="11"/>
        <v>725</v>
      </c>
      <c r="G263" s="59">
        <v>0</v>
      </c>
      <c r="H263" s="58"/>
      <c r="I263" s="58" t="str">
        <f>""</f>
        <v/>
      </c>
    </row>
    <row r="264" spans="2:9" ht="15" customHeight="1">
      <c r="B264" s="58" t="s">
        <v>13</v>
      </c>
      <c r="C264" s="58" t="s">
        <v>220</v>
      </c>
      <c r="D264" s="59">
        <v>500</v>
      </c>
      <c r="E264" s="59">
        <v>0</v>
      </c>
      <c r="F264" s="59">
        <f t="shared" si="11"/>
        <v>500</v>
      </c>
      <c r="G264" s="59">
        <v>0</v>
      </c>
      <c r="H264" s="58"/>
      <c r="I264" s="58" t="str">
        <f>""</f>
        <v/>
      </c>
    </row>
    <row r="265" spans="2:9" ht="15" customHeight="1">
      <c r="B265" s="58"/>
      <c r="C265" s="58"/>
      <c r="D265" s="59"/>
      <c r="E265" s="59"/>
      <c r="F265" s="59"/>
      <c r="G265" s="59"/>
      <c r="H265" s="58"/>
      <c r="I265" s="58" t="str">
        <f>""</f>
        <v/>
      </c>
    </row>
    <row r="266" spans="2:9" ht="15" customHeight="1">
      <c r="B266" s="58" t="s">
        <v>14</v>
      </c>
      <c r="C266" s="58" t="s">
        <v>221</v>
      </c>
      <c r="D266" s="59">
        <v>4200</v>
      </c>
      <c r="E266" s="59">
        <v>225</v>
      </c>
      <c r="F266" s="59">
        <f t="shared" si="11"/>
        <v>4425</v>
      </c>
      <c r="G266" s="59">
        <v>0</v>
      </c>
      <c r="H266" s="58"/>
      <c r="I266" s="58" t="str">
        <f>""</f>
        <v/>
      </c>
    </row>
    <row r="267" spans="2:9" ht="15" customHeight="1">
      <c r="B267" s="58" t="s">
        <v>14</v>
      </c>
      <c r="C267" s="58" t="s">
        <v>222</v>
      </c>
      <c r="D267" s="59">
        <v>4200</v>
      </c>
      <c r="E267" s="59">
        <v>0</v>
      </c>
      <c r="F267" s="59">
        <f t="shared" si="11"/>
        <v>4200</v>
      </c>
      <c r="G267" s="59">
        <v>0</v>
      </c>
      <c r="H267" s="58"/>
      <c r="I267" s="58" t="str">
        <f>""</f>
        <v/>
      </c>
    </row>
    <row r="268" spans="2:9" ht="15" customHeight="1">
      <c r="B268" s="58" t="s">
        <v>14</v>
      </c>
      <c r="C268" s="58" t="s">
        <v>223</v>
      </c>
      <c r="D268" s="59">
        <v>0</v>
      </c>
      <c r="E268" s="59">
        <v>0</v>
      </c>
      <c r="F268" s="59">
        <f t="shared" si="11"/>
        <v>0</v>
      </c>
      <c r="G268" s="59">
        <v>0</v>
      </c>
      <c r="H268" s="58"/>
      <c r="I268" s="58" t="s">
        <v>268</v>
      </c>
    </row>
    <row r="269" spans="2:9" ht="15" customHeight="1">
      <c r="B269" s="58" t="s">
        <v>14</v>
      </c>
      <c r="C269" s="58" t="s">
        <v>224</v>
      </c>
      <c r="D269" s="59">
        <v>0</v>
      </c>
      <c r="E269" s="59">
        <v>0</v>
      </c>
      <c r="F269" s="59">
        <f t="shared" si="11"/>
        <v>0</v>
      </c>
      <c r="G269" s="59">
        <v>0</v>
      </c>
      <c r="H269" s="58"/>
      <c r="I269" s="58" t="s">
        <v>268</v>
      </c>
    </row>
    <row r="270" spans="2:9" ht="15" customHeight="1">
      <c r="B270" s="58"/>
      <c r="C270" s="58"/>
      <c r="D270" s="59"/>
      <c r="E270" s="59"/>
      <c r="F270" s="59"/>
      <c r="G270" s="59"/>
      <c r="H270" s="58"/>
      <c r="I270" s="58" t="str">
        <f>""</f>
        <v/>
      </c>
    </row>
    <row r="271" spans="2:9" ht="15" customHeight="1">
      <c r="B271" s="58" t="s">
        <v>151</v>
      </c>
      <c r="C271" s="58" t="s">
        <v>225</v>
      </c>
      <c r="D271" s="59">
        <v>4200</v>
      </c>
      <c r="E271" s="59">
        <v>225</v>
      </c>
      <c r="F271" s="59">
        <f t="shared" si="11"/>
        <v>4425</v>
      </c>
      <c r="G271" s="59">
        <v>150</v>
      </c>
      <c r="H271" s="59" t="s">
        <v>24</v>
      </c>
      <c r="I271" s="58" t="str">
        <f>""</f>
        <v/>
      </c>
    </row>
    <row r="272" spans="2:9" ht="15" customHeight="1">
      <c r="B272" s="58" t="s">
        <v>151</v>
      </c>
      <c r="C272" s="58" t="s">
        <v>226</v>
      </c>
      <c r="D272" s="59">
        <v>4200</v>
      </c>
      <c r="E272" s="59">
        <v>0</v>
      </c>
      <c r="F272" s="59">
        <f t="shared" si="11"/>
        <v>4200</v>
      </c>
      <c r="G272" s="59">
        <v>150</v>
      </c>
      <c r="H272" s="59" t="s">
        <v>24</v>
      </c>
      <c r="I272" s="58" t="str">
        <f>""</f>
        <v/>
      </c>
    </row>
    <row r="273" spans="2:9" ht="15" customHeight="1">
      <c r="B273" s="58" t="s">
        <v>151</v>
      </c>
      <c r="C273" s="58" t="s">
        <v>227</v>
      </c>
      <c r="D273" s="59">
        <v>0</v>
      </c>
      <c r="E273" s="59">
        <v>0</v>
      </c>
      <c r="F273" s="59">
        <f t="shared" si="11"/>
        <v>0</v>
      </c>
      <c r="G273" s="59">
        <v>0</v>
      </c>
      <c r="H273" s="59"/>
      <c r="I273" s="58" t="s">
        <v>268</v>
      </c>
    </row>
    <row r="274" spans="2:9" ht="15" customHeight="1">
      <c r="B274" s="58" t="s">
        <v>151</v>
      </c>
      <c r="C274" s="58" t="s">
        <v>228</v>
      </c>
      <c r="D274" s="59">
        <v>0</v>
      </c>
      <c r="E274" s="59">
        <v>0</v>
      </c>
      <c r="F274" s="59">
        <f t="shared" si="11"/>
        <v>0</v>
      </c>
      <c r="G274" s="59">
        <v>0</v>
      </c>
      <c r="H274" s="59"/>
      <c r="I274" s="58" t="s">
        <v>268</v>
      </c>
    </row>
    <row r="275" spans="2:9" ht="15" customHeight="1">
      <c r="B275" s="58"/>
      <c r="C275" s="58"/>
      <c r="D275" s="59"/>
      <c r="E275" s="59"/>
      <c r="F275" s="59"/>
      <c r="G275" s="59"/>
      <c r="H275" s="59"/>
      <c r="I275" s="58" t="str">
        <f>""</f>
        <v/>
      </c>
    </row>
    <row r="276" spans="2:9" ht="15" customHeight="1">
      <c r="B276" s="59" t="s">
        <v>152</v>
      </c>
      <c r="C276" s="58" t="s">
        <v>308</v>
      </c>
      <c r="D276" s="59">
        <f>3750+(71-10)*150</f>
        <v>12900</v>
      </c>
      <c r="E276" s="59">
        <v>0</v>
      </c>
      <c r="F276" s="59">
        <f t="shared" si="11"/>
        <v>12900</v>
      </c>
      <c r="G276" s="59">
        <v>150</v>
      </c>
      <c r="H276" s="59" t="s">
        <v>153</v>
      </c>
      <c r="I276" s="58"/>
    </row>
    <row r="277" spans="2:9" ht="15" customHeight="1">
      <c r="B277" s="59" t="s">
        <v>152</v>
      </c>
      <c r="C277" s="58" t="s">
        <v>229</v>
      </c>
      <c r="D277" s="59">
        <f>3750+(71-10)*150</f>
        <v>12900</v>
      </c>
      <c r="E277" s="59">
        <v>0</v>
      </c>
      <c r="F277" s="59">
        <f t="shared" si="11"/>
        <v>12900</v>
      </c>
      <c r="G277" s="59">
        <v>150</v>
      </c>
      <c r="H277" s="59" t="s">
        <v>153</v>
      </c>
      <c r="I277" s="58" t="str">
        <f>""</f>
        <v/>
      </c>
    </row>
    <row r="278" spans="2:9" ht="15" customHeight="1">
      <c r="B278" s="59" t="s">
        <v>152</v>
      </c>
      <c r="C278" s="58" t="s">
        <v>230</v>
      </c>
      <c r="D278" s="59">
        <f t="shared" ref="D278:D280" si="13">3750+(71-10)*150</f>
        <v>12900</v>
      </c>
      <c r="E278" s="59">
        <v>0</v>
      </c>
      <c r="F278" s="59">
        <f t="shared" si="11"/>
        <v>12900</v>
      </c>
      <c r="G278" s="59">
        <v>150</v>
      </c>
      <c r="H278" s="59" t="s">
        <v>153</v>
      </c>
      <c r="I278" s="58" t="str">
        <f>""</f>
        <v/>
      </c>
    </row>
    <row r="279" spans="2:9" ht="15.75" customHeight="1">
      <c r="B279" s="59" t="s">
        <v>152</v>
      </c>
      <c r="C279" s="58" t="s">
        <v>231</v>
      </c>
      <c r="D279" s="59">
        <f t="shared" si="13"/>
        <v>12900</v>
      </c>
      <c r="E279" s="59">
        <v>0</v>
      </c>
      <c r="F279" s="59">
        <f t="shared" si="11"/>
        <v>12900</v>
      </c>
      <c r="G279" s="59">
        <v>150</v>
      </c>
      <c r="H279" s="59" t="s">
        <v>153</v>
      </c>
      <c r="I279" s="58" t="str">
        <f>""</f>
        <v/>
      </c>
    </row>
    <row r="280" spans="2:9" ht="15" customHeight="1">
      <c r="B280" s="59" t="s">
        <v>152</v>
      </c>
      <c r="C280" s="58" t="s">
        <v>232</v>
      </c>
      <c r="D280" s="59">
        <f t="shared" si="13"/>
        <v>12900</v>
      </c>
      <c r="E280" s="59">
        <v>0</v>
      </c>
      <c r="F280" s="59">
        <f t="shared" si="11"/>
        <v>12900</v>
      </c>
      <c r="G280" s="59">
        <v>150</v>
      </c>
      <c r="H280" s="59" t="s">
        <v>153</v>
      </c>
      <c r="I280" s="58" t="str">
        <f>""</f>
        <v/>
      </c>
    </row>
    <row r="281" spans="2:9" ht="15" customHeight="1">
      <c r="B281" s="59"/>
      <c r="C281" s="59"/>
      <c r="D281" s="59"/>
      <c r="E281" s="59"/>
      <c r="F281" s="59"/>
      <c r="G281" s="59"/>
      <c r="H281" s="59"/>
      <c r="I281" s="58" t="str">
        <f>""</f>
        <v/>
      </c>
    </row>
    <row r="282" spans="2:9" ht="15" customHeight="1">
      <c r="B282" s="58" t="s">
        <v>15</v>
      </c>
      <c r="C282" s="58" t="s">
        <v>233</v>
      </c>
      <c r="D282" s="59">
        <v>500</v>
      </c>
      <c r="E282" s="59">
        <v>450</v>
      </c>
      <c r="F282" s="59">
        <f t="shared" si="11"/>
        <v>950</v>
      </c>
      <c r="G282" s="59">
        <v>0</v>
      </c>
      <c r="H282" s="59"/>
      <c r="I282" s="58" t="str">
        <f>""</f>
        <v/>
      </c>
    </row>
    <row r="283" spans="2:9" ht="15" customHeight="1">
      <c r="B283" s="58" t="s">
        <v>15</v>
      </c>
      <c r="C283" s="58" t="s">
        <v>234</v>
      </c>
      <c r="D283" s="59">
        <v>500</v>
      </c>
      <c r="E283" s="59">
        <v>450</v>
      </c>
      <c r="F283" s="59">
        <f t="shared" si="11"/>
        <v>950</v>
      </c>
      <c r="G283" s="59">
        <v>0</v>
      </c>
      <c r="H283" s="58"/>
      <c r="I283" s="58" t="str">
        <f>""</f>
        <v/>
      </c>
    </row>
    <row r="284" spans="2:9" ht="15" customHeight="1">
      <c r="B284" s="58" t="s">
        <v>15</v>
      </c>
      <c r="C284" s="58" t="s">
        <v>235</v>
      </c>
      <c r="D284" s="59">
        <v>500</v>
      </c>
      <c r="E284" s="59">
        <v>225</v>
      </c>
      <c r="F284" s="59">
        <f t="shared" si="11"/>
        <v>725</v>
      </c>
      <c r="G284" s="59">
        <v>0</v>
      </c>
      <c r="H284" s="58"/>
      <c r="I284" s="58" t="str">
        <f>""</f>
        <v/>
      </c>
    </row>
    <row r="285" spans="2:9" ht="15" customHeight="1">
      <c r="B285" s="58" t="s">
        <v>15</v>
      </c>
      <c r="C285" s="58" t="s">
        <v>236</v>
      </c>
      <c r="D285" s="59">
        <v>500</v>
      </c>
      <c r="E285" s="59"/>
      <c r="F285" s="59">
        <f t="shared" si="11"/>
        <v>500</v>
      </c>
      <c r="G285" s="59">
        <v>0</v>
      </c>
      <c r="H285" s="58"/>
      <c r="I285" s="58" t="str">
        <f>""</f>
        <v/>
      </c>
    </row>
    <row r="286" spans="2:9" ht="15" customHeight="1">
      <c r="B286" s="58"/>
      <c r="C286" s="58"/>
      <c r="D286" s="59"/>
      <c r="E286" s="59"/>
      <c r="F286" s="59"/>
      <c r="G286" s="59"/>
      <c r="H286" s="58"/>
      <c r="I286" s="58" t="str">
        <f>""</f>
        <v/>
      </c>
    </row>
    <row r="287" spans="2:9" ht="15" customHeight="1">
      <c r="B287" s="58" t="s">
        <v>16</v>
      </c>
      <c r="C287" s="58" t="s">
        <v>237</v>
      </c>
      <c r="D287" s="59">
        <v>4200</v>
      </c>
      <c r="E287" s="59">
        <v>225</v>
      </c>
      <c r="F287" s="59">
        <f t="shared" si="11"/>
        <v>4425</v>
      </c>
      <c r="G287" s="59">
        <v>0</v>
      </c>
      <c r="H287" s="58"/>
      <c r="I287" s="58" t="str">
        <f>""</f>
        <v/>
      </c>
    </row>
    <row r="288" spans="2:9" ht="15" customHeight="1">
      <c r="B288" s="58" t="s">
        <v>16</v>
      </c>
      <c r="C288" s="58" t="s">
        <v>238</v>
      </c>
      <c r="D288" s="59">
        <v>4200</v>
      </c>
      <c r="E288" s="59">
        <v>0</v>
      </c>
      <c r="F288" s="59">
        <f t="shared" si="11"/>
        <v>4200</v>
      </c>
      <c r="G288" s="59">
        <v>0</v>
      </c>
      <c r="H288" s="58"/>
      <c r="I288" s="58" t="str">
        <f>""</f>
        <v/>
      </c>
    </row>
    <row r="289" spans="2:9" ht="15" customHeight="1">
      <c r="B289" s="58" t="s">
        <v>16</v>
      </c>
      <c r="C289" s="58" t="s">
        <v>239</v>
      </c>
      <c r="D289" s="59">
        <v>0</v>
      </c>
      <c r="E289" s="59">
        <v>0</v>
      </c>
      <c r="F289" s="59">
        <f t="shared" si="11"/>
        <v>0</v>
      </c>
      <c r="G289" s="59">
        <v>0</v>
      </c>
      <c r="H289" s="58"/>
      <c r="I289" s="58" t="s">
        <v>268</v>
      </c>
    </row>
    <row r="290" spans="2:9" ht="15" customHeight="1">
      <c r="B290" s="58" t="s">
        <v>16</v>
      </c>
      <c r="C290" s="58" t="s">
        <v>240</v>
      </c>
      <c r="D290" s="59">
        <v>0</v>
      </c>
      <c r="E290" s="59">
        <v>0</v>
      </c>
      <c r="F290" s="59">
        <f t="shared" si="11"/>
        <v>0</v>
      </c>
      <c r="G290" s="59">
        <v>0</v>
      </c>
      <c r="H290" s="58"/>
      <c r="I290" s="58" t="s">
        <v>268</v>
      </c>
    </row>
    <row r="291" spans="2:9" ht="15" customHeight="1">
      <c r="B291" s="58"/>
      <c r="C291" s="58"/>
      <c r="D291" s="59"/>
      <c r="E291" s="59"/>
      <c r="F291" s="59"/>
      <c r="G291" s="59"/>
      <c r="H291" s="58"/>
      <c r="I291" s="58" t="str">
        <f>""</f>
        <v/>
      </c>
    </row>
    <row r="292" spans="2:9" ht="15" customHeight="1">
      <c r="B292" s="58" t="s">
        <v>150</v>
      </c>
      <c r="C292" s="58" t="s">
        <v>241</v>
      </c>
      <c r="D292" s="59">
        <v>4200</v>
      </c>
      <c r="E292" s="59">
        <v>225</v>
      </c>
      <c r="F292" s="59">
        <f t="shared" si="11"/>
        <v>4425</v>
      </c>
      <c r="G292" s="59">
        <v>150</v>
      </c>
      <c r="H292" s="59" t="s">
        <v>24</v>
      </c>
      <c r="I292" s="58" t="str">
        <f>""</f>
        <v/>
      </c>
    </row>
    <row r="293" spans="2:9" ht="15" customHeight="1">
      <c r="B293" s="58" t="s">
        <v>150</v>
      </c>
      <c r="C293" s="58" t="s">
        <v>242</v>
      </c>
      <c r="D293" s="59">
        <v>4200</v>
      </c>
      <c r="E293" s="59">
        <v>0</v>
      </c>
      <c r="F293" s="59">
        <f t="shared" si="11"/>
        <v>4200</v>
      </c>
      <c r="G293" s="59">
        <v>150</v>
      </c>
      <c r="H293" s="59" t="s">
        <v>24</v>
      </c>
      <c r="I293" s="58" t="str">
        <f>""</f>
        <v/>
      </c>
    </row>
    <row r="294" spans="2:9" ht="15" customHeight="1">
      <c r="B294" s="58" t="s">
        <v>150</v>
      </c>
      <c r="C294" s="58" t="s">
        <v>243</v>
      </c>
      <c r="D294" s="59">
        <v>0</v>
      </c>
      <c r="E294" s="59">
        <v>0</v>
      </c>
      <c r="F294" s="59">
        <f t="shared" si="11"/>
        <v>0</v>
      </c>
      <c r="G294" s="59">
        <v>0</v>
      </c>
      <c r="H294" s="59" t="s">
        <v>24</v>
      </c>
      <c r="I294" s="58" t="s">
        <v>268</v>
      </c>
    </row>
    <row r="295" spans="2:9" ht="15" customHeight="1">
      <c r="B295" s="58" t="s">
        <v>150</v>
      </c>
      <c r="C295" s="58" t="s">
        <v>244</v>
      </c>
      <c r="D295" s="59">
        <v>0</v>
      </c>
      <c r="E295" s="59">
        <v>0</v>
      </c>
      <c r="F295" s="59">
        <f t="shared" si="11"/>
        <v>0</v>
      </c>
      <c r="G295" s="59">
        <v>0</v>
      </c>
      <c r="H295" s="59" t="s">
        <v>24</v>
      </c>
      <c r="I295" s="58" t="s">
        <v>268</v>
      </c>
    </row>
    <row r="296" spans="2:9" ht="15" customHeight="1">
      <c r="B296" s="58"/>
      <c r="C296" s="58"/>
      <c r="D296" s="59"/>
      <c r="E296" s="59"/>
      <c r="F296" s="59"/>
      <c r="G296" s="59"/>
      <c r="H296" s="59"/>
      <c r="I296" s="58" t="str">
        <f>""</f>
        <v/>
      </c>
    </row>
    <row r="297" spans="2:9" ht="15" customHeight="1">
      <c r="B297" s="59" t="s">
        <v>149</v>
      </c>
      <c r="C297" s="58" t="s">
        <v>309</v>
      </c>
      <c r="D297" s="59">
        <f>3750+(71-10)*150</f>
        <v>12900</v>
      </c>
      <c r="E297" s="59">
        <v>0</v>
      </c>
      <c r="F297" s="59">
        <f t="shared" si="11"/>
        <v>12900</v>
      </c>
      <c r="G297" s="59">
        <v>150</v>
      </c>
      <c r="H297" s="59" t="s">
        <v>153</v>
      </c>
      <c r="I297" s="58"/>
    </row>
    <row r="298" spans="2:9" ht="15" customHeight="1">
      <c r="B298" s="59" t="s">
        <v>149</v>
      </c>
      <c r="C298" s="58" t="s">
        <v>245</v>
      </c>
      <c r="D298" s="59">
        <f>3750+(71-10)*150</f>
        <v>12900</v>
      </c>
      <c r="E298" s="59">
        <v>0</v>
      </c>
      <c r="F298" s="59">
        <f t="shared" si="11"/>
        <v>12900</v>
      </c>
      <c r="G298" s="59">
        <v>150</v>
      </c>
      <c r="H298" s="59" t="s">
        <v>153</v>
      </c>
      <c r="I298" s="58" t="str">
        <f>""</f>
        <v/>
      </c>
    </row>
    <row r="299" spans="2:9" ht="15" customHeight="1">
      <c r="B299" s="59" t="s">
        <v>149</v>
      </c>
      <c r="C299" s="58" t="s">
        <v>246</v>
      </c>
      <c r="D299" s="59">
        <f t="shared" ref="D299:D301" si="14">3750+(71-10)*150</f>
        <v>12900</v>
      </c>
      <c r="E299" s="59">
        <v>0</v>
      </c>
      <c r="F299" s="59">
        <f t="shared" si="11"/>
        <v>12900</v>
      </c>
      <c r="G299" s="59">
        <v>150</v>
      </c>
      <c r="H299" s="59" t="s">
        <v>153</v>
      </c>
      <c r="I299" s="58" t="str">
        <f>""</f>
        <v/>
      </c>
    </row>
    <row r="300" spans="2:9" ht="15" customHeight="1">
      <c r="B300" s="59" t="s">
        <v>149</v>
      </c>
      <c r="C300" s="58" t="s">
        <v>247</v>
      </c>
      <c r="D300" s="59">
        <f t="shared" si="14"/>
        <v>12900</v>
      </c>
      <c r="E300" s="59">
        <v>0</v>
      </c>
      <c r="F300" s="59">
        <f t="shared" si="11"/>
        <v>12900</v>
      </c>
      <c r="G300" s="59">
        <v>150</v>
      </c>
      <c r="H300" s="59" t="s">
        <v>153</v>
      </c>
      <c r="I300" s="58" t="str">
        <f>""</f>
        <v/>
      </c>
    </row>
    <row r="301" spans="2:9" ht="15" customHeight="1">
      <c r="B301" s="59" t="s">
        <v>149</v>
      </c>
      <c r="C301" s="58" t="s">
        <v>248</v>
      </c>
      <c r="D301" s="59">
        <f t="shared" si="14"/>
        <v>12900</v>
      </c>
      <c r="E301" s="59">
        <v>0</v>
      </c>
      <c r="F301" s="59">
        <f t="shared" si="11"/>
        <v>12900</v>
      </c>
      <c r="G301" s="59">
        <v>150</v>
      </c>
      <c r="H301" s="59" t="s">
        <v>153</v>
      </c>
      <c r="I301" s="58" t="str">
        <f>""</f>
        <v/>
      </c>
    </row>
    <row r="302" spans="2:9" ht="15" customHeight="1">
      <c r="B302" s="10"/>
      <c r="C302" s="1"/>
      <c r="D302" s="3"/>
      <c r="E302" s="3"/>
      <c r="F302" s="3"/>
      <c r="G302" s="3"/>
      <c r="H302" s="3"/>
    </row>
    <row r="303" spans="2:9" ht="15" customHeight="1">
      <c r="B303" s="53" t="s">
        <v>9</v>
      </c>
      <c r="C303" s="53" t="s">
        <v>10</v>
      </c>
      <c r="D303" s="54" t="s">
        <v>11</v>
      </c>
      <c r="E303" s="3"/>
      <c r="F303" s="3"/>
      <c r="G303" s="3"/>
    </row>
    <row r="304" spans="2:9" ht="15" customHeight="1">
      <c r="B304" s="56" t="s">
        <v>48</v>
      </c>
      <c r="C304" s="56" t="s">
        <v>48</v>
      </c>
      <c r="D304" s="62">
        <v>0</v>
      </c>
      <c r="E304" s="3"/>
      <c r="F304" s="3"/>
      <c r="G304" s="3"/>
    </row>
    <row r="305" spans="2:8" ht="15" customHeight="1">
      <c r="B305" s="58" t="s">
        <v>9</v>
      </c>
      <c r="C305" s="58" t="s">
        <v>260</v>
      </c>
      <c r="D305" s="59">
        <v>1000</v>
      </c>
      <c r="E305" s="3"/>
      <c r="F305" s="3"/>
      <c r="G305" s="3"/>
      <c r="H305" s="3" t="s">
        <v>28</v>
      </c>
    </row>
    <row r="306" spans="2:8" ht="15" customHeight="1">
      <c r="B306" s="58" t="s">
        <v>9</v>
      </c>
      <c r="C306" s="58" t="s">
        <v>261</v>
      </c>
      <c r="D306" s="59">
        <v>2000</v>
      </c>
      <c r="E306" s="3"/>
      <c r="F306" s="3"/>
      <c r="G306" s="3"/>
      <c r="H306" s="3" t="s">
        <v>28</v>
      </c>
    </row>
    <row r="307" spans="2:8" ht="15" customHeight="1">
      <c r="B307" s="58" t="s">
        <v>18</v>
      </c>
      <c r="C307" s="58" t="s">
        <v>262</v>
      </c>
      <c r="D307" s="59">
        <v>1200</v>
      </c>
      <c r="E307" s="3"/>
      <c r="F307" s="3"/>
      <c r="G307" s="3"/>
      <c r="H307" s="3" t="s">
        <v>28</v>
      </c>
    </row>
    <row r="308" spans="2:8" ht="15" customHeight="1">
      <c r="B308" s="58" t="s">
        <v>18</v>
      </c>
      <c r="C308" s="58" t="s">
        <v>263</v>
      </c>
      <c r="D308" s="59">
        <v>2100</v>
      </c>
      <c r="E308" s="3"/>
      <c r="F308" s="3"/>
      <c r="G308" s="3"/>
      <c r="H308" s="3" t="s">
        <v>28</v>
      </c>
    </row>
    <row r="309" spans="2:8" ht="15" customHeight="1">
      <c r="B309" s="58" t="s">
        <v>9</v>
      </c>
      <c r="C309" s="58" t="s">
        <v>264</v>
      </c>
      <c r="D309" s="59">
        <v>1000</v>
      </c>
      <c r="F309" s="3"/>
      <c r="G309" s="3"/>
      <c r="H309" s="3" t="s">
        <v>28</v>
      </c>
    </row>
    <row r="310" spans="2:8" ht="15" customHeight="1">
      <c r="B310" s="58" t="s">
        <v>9</v>
      </c>
      <c r="C310" s="58" t="s">
        <v>265</v>
      </c>
      <c r="D310" s="59">
        <v>1400</v>
      </c>
      <c r="E310" s="147"/>
      <c r="F310" s="3"/>
      <c r="G310" s="3"/>
      <c r="H310" s="3" t="s">
        <v>28</v>
      </c>
    </row>
    <row r="311" spans="2:8" ht="15" customHeight="1">
      <c r="B311" s="58" t="s">
        <v>18</v>
      </c>
      <c r="C311" s="58" t="s">
        <v>266</v>
      </c>
      <c r="D311" s="59">
        <v>1200</v>
      </c>
      <c r="E311" s="48"/>
      <c r="F311" s="3"/>
      <c r="G311" s="3"/>
      <c r="H311" s="3" t="s">
        <v>28</v>
      </c>
    </row>
    <row r="312" spans="2:8" ht="15" customHeight="1">
      <c r="B312" s="58" t="s">
        <v>18</v>
      </c>
      <c r="C312" s="58" t="s">
        <v>267</v>
      </c>
      <c r="D312" s="59">
        <v>1400</v>
      </c>
      <c r="E312" s="48"/>
      <c r="F312" s="3"/>
      <c r="G312" s="3"/>
      <c r="H312" s="3" t="s">
        <v>28</v>
      </c>
    </row>
    <row r="313" spans="2:8" ht="15" customHeight="1"/>
    <row r="314" spans="2:8" ht="15" customHeight="1">
      <c r="B314" s="53" t="s">
        <v>23</v>
      </c>
      <c r="C314" s="53" t="s">
        <v>10</v>
      </c>
      <c r="D314" s="55" t="s">
        <v>11</v>
      </c>
    </row>
    <row r="315" spans="2:8" ht="15" customHeight="1">
      <c r="B315" s="56" t="s">
        <v>251</v>
      </c>
      <c r="C315" s="56" t="s">
        <v>251</v>
      </c>
      <c r="D315" s="57">
        <v>0</v>
      </c>
    </row>
    <row r="316" spans="2:8" ht="15" customHeight="1">
      <c r="B316" s="56" t="s">
        <v>254</v>
      </c>
      <c r="C316" s="56" t="s">
        <v>257</v>
      </c>
      <c r="D316" s="58">
        <v>3325</v>
      </c>
    </row>
    <row r="317" spans="2:8" ht="15" customHeight="1">
      <c r="B317" s="56" t="s">
        <v>254</v>
      </c>
      <c r="C317" s="56" t="s">
        <v>255</v>
      </c>
      <c r="D317" s="58">
        <v>3775</v>
      </c>
    </row>
    <row r="318" spans="2:8" ht="15" customHeight="1"/>
    <row r="319" spans="2:8" ht="15" customHeight="1">
      <c r="B319" s="1" t="s">
        <v>61</v>
      </c>
      <c r="C319" s="1" t="s">
        <v>10</v>
      </c>
      <c r="H319" t="s">
        <v>62</v>
      </c>
    </row>
    <row r="320" spans="2:8">
      <c r="B320" t="s">
        <v>60</v>
      </c>
      <c r="C320" t="s">
        <v>60</v>
      </c>
      <c r="D320">
        <v>0</v>
      </c>
    </row>
    <row r="321" spans="2:4">
      <c r="B321" s="9" t="s">
        <v>61</v>
      </c>
      <c r="C321" s="9" t="s">
        <v>61</v>
      </c>
      <c r="D321">
        <v>400</v>
      </c>
    </row>
    <row r="323" spans="2:4">
      <c r="C323" s="44"/>
    </row>
    <row r="339" spans="2:2">
      <c r="B339" s="2"/>
    </row>
  </sheetData>
  <mergeCells count="3">
    <mergeCell ref="M2:M10"/>
    <mergeCell ref="M42:M45"/>
    <mergeCell ref="N7:N10"/>
  </mergeCells>
  <phoneticPr fontId="11"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Keuzeblad maatregelen</vt:lpstr>
      <vt:lpstr>Afdrukoverzicht subsidiebedrag</vt:lpstr>
      <vt:lpstr>Hulpblad</vt:lpstr>
      <vt:lpstr>'Afdrukoverzicht subsidiebedrag'!Afdrukbereik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2023-11-27T15:40:11Z</cp:lastPrinted>
  <dcterms:created xsi:type="dcterms:W3CDTF">2022-12-13T15:32:06Z</dcterms:created>
  <dcterms:modified xsi:type="dcterms:W3CDTF">2024-01-02T10:42:56Z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